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G:\DocumentosD_2018\Material_VIPSKILLS\IO2\Spanish 2\Energy_Managment\"/>
    </mc:Choice>
  </mc:AlternateContent>
  <xr:revisionPtr revIDLastSave="0" documentId="8_{BE98EF54-87CF-4DE8-86DB-21F44007EE1F}" xr6:coauthVersionLast="43" xr6:coauthVersionMax="43" xr10:uidLastSave="{00000000-0000-0000-0000-000000000000}"/>
  <bookViews>
    <workbookView xWindow="-120" yWindow="-120" windowWidth="20730" windowHeight="11160" firstSheet="2" activeTab="2" xr2:uid="{00000000-000D-0000-FFFF-FFFF00000000}"/>
  </bookViews>
  <sheets>
    <sheet name="info page" sheetId="13" r:id="rId1"/>
    <sheet name="Consumos" sheetId="1" r:id="rId2"/>
    <sheet name="Ángulo de Inclinación" sheetId="2" r:id="rId3"/>
    <sheet name="Baterías" sheetId="3" r:id="rId4"/>
    <sheet name="PV" sheetId="4" r:id="rId5"/>
    <sheet name="Regulador de carga" sheetId="7" r:id="rId6"/>
    <sheet name="Adaptador de potencia" sheetId="8" r:id="rId7"/>
    <sheet name="Protection" sheetId="9" r:id="rId8"/>
    <sheet name="Cableado" sheetId="10" r:id="rId9"/>
    <sheet name="Config híbridas" sheetId="12" r:id="rId10"/>
    <sheet name="Radiación" sheetId="5"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4" i="10" l="1"/>
  <c r="O33" i="10"/>
  <c r="O32" i="10"/>
  <c r="P34" i="10"/>
  <c r="P33" i="10"/>
  <c r="P32" i="10"/>
  <c r="P31" i="10"/>
  <c r="O31" i="10"/>
  <c r="P29" i="10"/>
  <c r="O29" i="10"/>
  <c r="P27" i="10"/>
  <c r="O27" i="10"/>
  <c r="P26" i="10"/>
  <c r="O26" i="10"/>
  <c r="P24" i="10"/>
  <c r="O24" i="10"/>
  <c r="W38" i="3" l="1"/>
  <c r="U38" i="3"/>
  <c r="P29" i="2"/>
  <c r="F27" i="2"/>
  <c r="O251" i="5" l="1"/>
  <c r="O250" i="5"/>
  <c r="O249" i="5"/>
  <c r="O248" i="5"/>
  <c r="N229" i="5"/>
  <c r="M229" i="5"/>
  <c r="L229" i="5"/>
  <c r="K229" i="5"/>
  <c r="J229" i="5"/>
  <c r="I229" i="5"/>
  <c r="H229" i="5"/>
  <c r="G229" i="5"/>
  <c r="F229" i="5"/>
  <c r="E229" i="5"/>
  <c r="D229" i="5"/>
  <c r="C229" i="5"/>
  <c r="M218" i="5"/>
  <c r="G218" i="5"/>
  <c r="E216" i="5"/>
  <c r="K215" i="5"/>
  <c r="M213" i="5"/>
  <c r="H213" i="5"/>
  <c r="G213" i="5"/>
  <c r="E213" i="5"/>
  <c r="N212" i="5"/>
  <c r="N213" i="5" s="1"/>
  <c r="M212" i="5"/>
  <c r="L212" i="5"/>
  <c r="L213" i="5" s="1"/>
  <c r="K212" i="5"/>
  <c r="K213" i="5" s="1"/>
  <c r="J212" i="5"/>
  <c r="J213" i="5" s="1"/>
  <c r="I212" i="5"/>
  <c r="I213" i="5" s="1"/>
  <c r="H212" i="5"/>
  <c r="G212" i="5"/>
  <c r="F212" i="5"/>
  <c r="F213" i="5" s="1"/>
  <c r="E212" i="5"/>
  <c r="D212" i="5"/>
  <c r="D213" i="5" s="1"/>
  <c r="C212" i="5"/>
  <c r="C213" i="5" s="1"/>
  <c r="M210" i="5"/>
  <c r="M216" i="5" s="1"/>
  <c r="M217" i="5" s="1"/>
  <c r="H210" i="5"/>
  <c r="G210" i="5"/>
  <c r="E210" i="5"/>
  <c r="K209" i="5"/>
  <c r="I209" i="5"/>
  <c r="N195" i="5"/>
  <c r="N210" i="5" s="1"/>
  <c r="M195" i="5"/>
  <c r="M215" i="5" s="1"/>
  <c r="L195" i="5"/>
  <c r="L210" i="5" s="1"/>
  <c r="K195" i="5"/>
  <c r="K210" i="5" s="1"/>
  <c r="J195" i="5"/>
  <c r="J215" i="5" s="1"/>
  <c r="I195" i="5"/>
  <c r="I210" i="5" s="1"/>
  <c r="H195" i="5"/>
  <c r="H215" i="5" s="1"/>
  <c r="G195" i="5"/>
  <c r="G215" i="5" s="1"/>
  <c r="G216" i="5" s="1"/>
  <c r="G217" i="5" s="1"/>
  <c r="F195" i="5"/>
  <c r="F210" i="5" s="1"/>
  <c r="E195" i="5"/>
  <c r="E215" i="5" s="1"/>
  <c r="D195" i="5"/>
  <c r="D210" i="5" s="1"/>
  <c r="C195" i="5"/>
  <c r="C210" i="5" s="1"/>
  <c r="N179" i="5"/>
  <c r="M179" i="5"/>
  <c r="L179" i="5"/>
  <c r="K179" i="5"/>
  <c r="J179" i="5"/>
  <c r="I179" i="5"/>
  <c r="H179" i="5"/>
  <c r="G179" i="5"/>
  <c r="F179" i="5"/>
  <c r="E179" i="5"/>
  <c r="D179" i="5"/>
  <c r="C179" i="5"/>
  <c r="H166" i="5"/>
  <c r="J163" i="5"/>
  <c r="I163" i="5"/>
  <c r="H163" i="5"/>
  <c r="N162" i="5"/>
  <c r="N163" i="5" s="1"/>
  <c r="M162" i="5"/>
  <c r="M163" i="5" s="1"/>
  <c r="L162" i="5"/>
  <c r="L163" i="5" s="1"/>
  <c r="K162" i="5"/>
  <c r="K163" i="5" s="1"/>
  <c r="J162" i="5"/>
  <c r="I162" i="5"/>
  <c r="H162" i="5"/>
  <c r="G162" i="5"/>
  <c r="G163" i="5" s="1"/>
  <c r="F162" i="5"/>
  <c r="F163" i="5" s="1"/>
  <c r="E162" i="5"/>
  <c r="E163" i="5" s="1"/>
  <c r="D162" i="5"/>
  <c r="D163" i="5" s="1"/>
  <c r="C162" i="5"/>
  <c r="C163" i="5" s="1"/>
  <c r="J160" i="5"/>
  <c r="I160" i="5"/>
  <c r="H160" i="5"/>
  <c r="M159" i="5"/>
  <c r="L159" i="5"/>
  <c r="D159" i="5"/>
  <c r="N145" i="5"/>
  <c r="N160" i="5" s="1"/>
  <c r="M145" i="5"/>
  <c r="M160" i="5" s="1"/>
  <c r="L145" i="5"/>
  <c r="L160" i="5" s="1"/>
  <c r="K145" i="5"/>
  <c r="K165" i="5" s="1"/>
  <c r="J145" i="5"/>
  <c r="J165" i="5" s="1"/>
  <c r="I145" i="5"/>
  <c r="I165" i="5" s="1"/>
  <c r="I166" i="5" s="1"/>
  <c r="H145" i="5"/>
  <c r="H165" i="5" s="1"/>
  <c r="G145" i="5"/>
  <c r="G160" i="5" s="1"/>
  <c r="F145" i="5"/>
  <c r="F160" i="5" s="1"/>
  <c r="E145" i="5"/>
  <c r="E160" i="5" s="1"/>
  <c r="D145" i="5"/>
  <c r="D160" i="5" s="1"/>
  <c r="C145" i="5"/>
  <c r="C165" i="5" s="1"/>
  <c r="N126" i="5"/>
  <c r="M126" i="5"/>
  <c r="L126" i="5"/>
  <c r="K126" i="5"/>
  <c r="J126" i="5"/>
  <c r="I126" i="5"/>
  <c r="H126" i="5"/>
  <c r="G126" i="5"/>
  <c r="F126" i="5"/>
  <c r="E126" i="5"/>
  <c r="D126" i="5"/>
  <c r="C126" i="5"/>
  <c r="N110" i="5"/>
  <c r="I110" i="5"/>
  <c r="H110" i="5"/>
  <c r="F110" i="5"/>
  <c r="N109" i="5"/>
  <c r="M109" i="5"/>
  <c r="M110" i="5" s="1"/>
  <c r="L109" i="5"/>
  <c r="L110" i="5" s="1"/>
  <c r="K109" i="5"/>
  <c r="K110" i="5" s="1"/>
  <c r="J109" i="5"/>
  <c r="J110" i="5" s="1"/>
  <c r="I109" i="5"/>
  <c r="H109" i="5"/>
  <c r="G109" i="5"/>
  <c r="G110" i="5" s="1"/>
  <c r="F109" i="5"/>
  <c r="E109" i="5"/>
  <c r="E110" i="5" s="1"/>
  <c r="D109" i="5"/>
  <c r="D110" i="5" s="1"/>
  <c r="C109" i="5"/>
  <c r="C110" i="5" s="1"/>
  <c r="H107" i="5"/>
  <c r="H113" i="5" s="1"/>
  <c r="N92" i="5"/>
  <c r="N107" i="5" s="1"/>
  <c r="M92" i="5"/>
  <c r="M107" i="5" s="1"/>
  <c r="L92" i="5"/>
  <c r="K92" i="5"/>
  <c r="K112" i="5" s="1"/>
  <c r="J92" i="5"/>
  <c r="J112" i="5" s="1"/>
  <c r="I92" i="5"/>
  <c r="I112" i="5" s="1"/>
  <c r="H92" i="5"/>
  <c r="H112" i="5" s="1"/>
  <c r="G92" i="5"/>
  <c r="G107" i="5" s="1"/>
  <c r="F92" i="5"/>
  <c r="F107" i="5" s="1"/>
  <c r="E92" i="5"/>
  <c r="E107" i="5" s="1"/>
  <c r="D92" i="5"/>
  <c r="C92" i="5"/>
  <c r="C112" i="5" s="1"/>
  <c r="N73" i="5"/>
  <c r="M73" i="5"/>
  <c r="L73" i="5"/>
  <c r="K73" i="5"/>
  <c r="J73" i="5"/>
  <c r="I73" i="5"/>
  <c r="H73" i="5"/>
  <c r="G73" i="5"/>
  <c r="F73" i="5"/>
  <c r="E73" i="5"/>
  <c r="D73" i="5"/>
  <c r="C73" i="5"/>
  <c r="N57" i="5"/>
  <c r="I57" i="5"/>
  <c r="H57" i="5"/>
  <c r="G57" i="5"/>
  <c r="F57" i="5"/>
  <c r="N56" i="5"/>
  <c r="M56" i="5"/>
  <c r="M57" i="5" s="1"/>
  <c r="L56" i="5"/>
  <c r="L57" i="5" s="1"/>
  <c r="K56" i="5"/>
  <c r="K57" i="5" s="1"/>
  <c r="J56" i="5"/>
  <c r="J57" i="5" s="1"/>
  <c r="I56" i="5"/>
  <c r="H56" i="5"/>
  <c r="G56" i="5"/>
  <c r="F56" i="5"/>
  <c r="E56" i="5"/>
  <c r="E57" i="5" s="1"/>
  <c r="D56" i="5"/>
  <c r="D57" i="5" s="1"/>
  <c r="C56" i="5"/>
  <c r="C57" i="5" s="1"/>
  <c r="G54" i="5"/>
  <c r="G60" i="5" s="1"/>
  <c r="N39" i="5"/>
  <c r="N59" i="5" s="1"/>
  <c r="M39" i="5"/>
  <c r="M54" i="5" s="1"/>
  <c r="L39" i="5"/>
  <c r="L54" i="5" s="1"/>
  <c r="K39" i="5"/>
  <c r="K54" i="5" s="1"/>
  <c r="J39" i="5"/>
  <c r="J54" i="5" s="1"/>
  <c r="I39" i="5"/>
  <c r="I59" i="5" s="1"/>
  <c r="H39" i="5"/>
  <c r="H59" i="5" s="1"/>
  <c r="G39" i="5"/>
  <c r="G59" i="5" s="1"/>
  <c r="F39" i="5"/>
  <c r="F59" i="5" s="1"/>
  <c r="E39" i="5"/>
  <c r="E54" i="5" s="1"/>
  <c r="D39" i="5"/>
  <c r="D54" i="5" s="1"/>
  <c r="C39" i="5"/>
  <c r="C54" i="5" s="1"/>
  <c r="A20" i="5"/>
  <c r="A21" i="5" s="1"/>
  <c r="A22" i="5" s="1"/>
  <c r="A23" i="5" s="1"/>
  <c r="A24" i="5" s="1"/>
  <c r="A25" i="5" s="1"/>
  <c r="A26" i="5" s="1"/>
  <c r="A27" i="5" s="1"/>
  <c r="A28" i="5" s="1"/>
  <c r="A29" i="5" s="1"/>
  <c r="A30" i="5" s="1"/>
  <c r="A31" i="5" s="1"/>
  <c r="A32" i="5" s="1"/>
  <c r="A33" i="5" s="1"/>
  <c r="A34" i="5" s="1"/>
  <c r="A35" i="5" s="1"/>
  <c r="A12" i="5"/>
  <c r="A13" i="5" s="1"/>
  <c r="A14" i="5" s="1"/>
  <c r="A15" i="5" s="1"/>
  <c r="A16" i="5" s="1"/>
  <c r="A17" i="5" s="1"/>
  <c r="A18" i="5" s="1"/>
  <c r="A19" i="5" s="1"/>
  <c r="C5" i="5"/>
  <c r="A5" i="5"/>
  <c r="A6" i="5" s="1"/>
  <c r="A7" i="5" s="1"/>
  <c r="A8" i="5" s="1"/>
  <c r="A9" i="5" s="1"/>
  <c r="A10" i="5" s="1"/>
  <c r="A11" i="5" s="1"/>
  <c r="A4" i="5"/>
  <c r="V111" i="12"/>
  <c r="G54" i="12"/>
  <c r="H54" i="12" s="1"/>
  <c r="I54" i="12" s="1"/>
  <c r="G53" i="12"/>
  <c r="H53" i="12" s="1"/>
  <c r="I53" i="12" s="1"/>
  <c r="G52" i="12"/>
  <c r="H52" i="12" s="1"/>
  <c r="I52" i="12" s="1"/>
  <c r="G51" i="12"/>
  <c r="H51" i="12" s="1"/>
  <c r="G50" i="12"/>
  <c r="H50" i="12" s="1"/>
  <c r="G49" i="12"/>
  <c r="H49" i="12" s="1"/>
  <c r="G48" i="12"/>
  <c r="H48" i="12" s="1"/>
  <c r="G47" i="12"/>
  <c r="H47" i="12" s="1"/>
  <c r="G46" i="12"/>
  <c r="H46" i="12" s="1"/>
  <c r="I46" i="12" s="1"/>
  <c r="G45" i="12"/>
  <c r="H45" i="12" s="1"/>
  <c r="I45" i="12" s="1"/>
  <c r="G44" i="12"/>
  <c r="H44" i="12" s="1"/>
  <c r="I44" i="12" s="1"/>
  <c r="H43" i="12"/>
  <c r="G43" i="12"/>
  <c r="U25" i="12"/>
  <c r="V25" i="12" s="1"/>
  <c r="K24" i="12" s="1"/>
  <c r="F24" i="12"/>
  <c r="L19" i="12"/>
  <c r="E19" i="12"/>
  <c r="L17" i="12"/>
  <c r="E17" i="12"/>
  <c r="N34" i="10"/>
  <c r="J34" i="10"/>
  <c r="H34" i="10"/>
  <c r="N33" i="10"/>
  <c r="J33" i="10"/>
  <c r="H33" i="10"/>
  <c r="N32" i="10"/>
  <c r="J32" i="10"/>
  <c r="H32" i="10"/>
  <c r="N31" i="10"/>
  <c r="H31" i="10"/>
  <c r="N29" i="10"/>
  <c r="N27" i="10"/>
  <c r="N26" i="10"/>
  <c r="E26" i="10"/>
  <c r="N25" i="10"/>
  <c r="O25" i="10" s="1"/>
  <c r="J25" i="10"/>
  <c r="H25" i="10"/>
  <c r="N24" i="10"/>
  <c r="J18" i="10"/>
  <c r="D18" i="10"/>
  <c r="J16" i="10"/>
  <c r="D16" i="10"/>
  <c r="G52" i="9"/>
  <c r="H52" i="9" s="1"/>
  <c r="D51" i="9"/>
  <c r="G51" i="9" s="1"/>
  <c r="H51" i="9" s="1"/>
  <c r="G49" i="9"/>
  <c r="H49" i="9" s="1"/>
  <c r="D48" i="9"/>
  <c r="G48" i="9" s="1"/>
  <c r="H48" i="9" s="1"/>
  <c r="H46" i="9"/>
  <c r="G46" i="9"/>
  <c r="D45" i="9"/>
  <c r="G45" i="9" s="1"/>
  <c r="H45" i="9" s="1"/>
  <c r="G43" i="9"/>
  <c r="H43" i="9" s="1"/>
  <c r="H42" i="9"/>
  <c r="G42" i="9"/>
  <c r="D42" i="9"/>
  <c r="G38" i="9"/>
  <c r="H38" i="9" s="1"/>
  <c r="E37" i="9"/>
  <c r="D29" i="10" s="1"/>
  <c r="G33" i="9"/>
  <c r="H33" i="9" s="1"/>
  <c r="E32" i="9"/>
  <c r="D32" i="9"/>
  <c r="C32" i="9"/>
  <c r="G32" i="9" s="1"/>
  <c r="H32" i="9" s="1"/>
  <c r="J16" i="9"/>
  <c r="D16" i="9"/>
  <c r="J14" i="9"/>
  <c r="D14" i="9"/>
  <c r="K30" i="8"/>
  <c r="H30" i="8"/>
  <c r="D28" i="8"/>
  <c r="U24" i="8"/>
  <c r="I17" i="8"/>
  <c r="D17" i="8"/>
  <c r="I15" i="8"/>
  <c r="D15" i="8"/>
  <c r="T24" i="7"/>
  <c r="I21" i="7"/>
  <c r="J16" i="7"/>
  <c r="E16" i="7"/>
  <c r="J14" i="7"/>
  <c r="E14" i="7"/>
  <c r="S34" i="4"/>
  <c r="M34" i="4"/>
  <c r="L34" i="4"/>
  <c r="I34" i="4"/>
  <c r="H34" i="4"/>
  <c r="N34" i="4" s="1"/>
  <c r="F34" i="4"/>
  <c r="E34" i="4"/>
  <c r="D38" i="7" s="1"/>
  <c r="C34" i="4"/>
  <c r="J34" i="4" s="1"/>
  <c r="T33" i="4"/>
  <c r="I31" i="4"/>
  <c r="G31" i="4"/>
  <c r="J17" i="4"/>
  <c r="E17" i="4"/>
  <c r="J15" i="4"/>
  <c r="E15" i="4"/>
  <c r="F38" i="3"/>
  <c r="E38" i="3"/>
  <c r="D38" i="3"/>
  <c r="C38" i="3"/>
  <c r="I35" i="3"/>
  <c r="G35" i="3"/>
  <c r="U31" i="3"/>
  <c r="I31" i="3"/>
  <c r="J31" i="3" s="1"/>
  <c r="H31" i="3"/>
  <c r="G31" i="3"/>
  <c r="F31" i="3"/>
  <c r="K16" i="3"/>
  <c r="F16" i="3"/>
  <c r="K14" i="3"/>
  <c r="F14" i="3"/>
  <c r="AL43" i="2"/>
  <c r="AE43" i="2"/>
  <c r="X43" i="2"/>
  <c r="AL42" i="2"/>
  <c r="AE42" i="2"/>
  <c r="X42" i="2"/>
  <c r="AL41" i="2"/>
  <c r="AE41" i="2"/>
  <c r="X41" i="2"/>
  <c r="AL40" i="2"/>
  <c r="AE40" i="2"/>
  <c r="X40" i="2"/>
  <c r="AL39" i="2"/>
  <c r="AE39" i="2"/>
  <c r="X39" i="2"/>
  <c r="K39" i="2"/>
  <c r="I39" i="2"/>
  <c r="K38" i="2"/>
  <c r="I38" i="2"/>
  <c r="AN37" i="2"/>
  <c r="K37" i="2"/>
  <c r="I37" i="2"/>
  <c r="K36" i="2"/>
  <c r="I36" i="2"/>
  <c r="K35" i="2"/>
  <c r="I35" i="2"/>
  <c r="K34" i="2"/>
  <c r="I34" i="2"/>
  <c r="K33" i="2"/>
  <c r="I33" i="2"/>
  <c r="K32" i="2"/>
  <c r="I32" i="2"/>
  <c r="T31" i="2"/>
  <c r="P31" i="2"/>
  <c r="AG37" i="2" s="1"/>
  <c r="K31" i="2"/>
  <c r="I31" i="2"/>
  <c r="K30" i="2"/>
  <c r="I30" i="2"/>
  <c r="K29" i="2"/>
  <c r="I29" i="2"/>
  <c r="K28" i="2"/>
  <c r="I28" i="2"/>
  <c r="T27" i="2"/>
  <c r="P27" i="2"/>
  <c r="Z37" i="2" s="1"/>
  <c r="S21" i="2"/>
  <c r="P18" i="2"/>
  <c r="F18" i="2"/>
  <c r="P16" i="2"/>
  <c r="F16" i="2"/>
  <c r="F46" i="1"/>
  <c r="D24" i="10" s="1"/>
  <c r="G41" i="1"/>
  <c r="L41" i="1" s="1"/>
  <c r="G40" i="1"/>
  <c r="L40" i="1" s="1"/>
  <c r="G39" i="1"/>
  <c r="L39" i="1" s="1"/>
  <c r="G38" i="1"/>
  <c r="L38" i="1" s="1"/>
  <c r="G37" i="1"/>
  <c r="L37" i="1" s="1"/>
  <c r="G36" i="1"/>
  <c r="L36" i="1" s="1"/>
  <c r="L35" i="1"/>
  <c r="G35" i="1"/>
  <c r="G34" i="1"/>
  <c r="L34" i="1" s="1"/>
  <c r="G33" i="1"/>
  <c r="L33" i="1" s="1"/>
  <c r="G31" i="1"/>
  <c r="L31" i="1" s="1"/>
  <c r="L30" i="1"/>
  <c r="G30" i="1"/>
  <c r="G29" i="1"/>
  <c r="L29" i="1" s="1"/>
  <c r="G28" i="1"/>
  <c r="L28" i="1" s="1"/>
  <c r="G27" i="1"/>
  <c r="L27" i="1" s="1"/>
  <c r="G26" i="1"/>
  <c r="L26" i="1" s="1"/>
  <c r="G25" i="1"/>
  <c r="L25" i="1" s="1"/>
  <c r="G24" i="1"/>
  <c r="I47" i="12" l="1"/>
  <c r="I48" i="12"/>
  <c r="I49" i="12"/>
  <c r="I50" i="12"/>
  <c r="I43" i="12"/>
  <c r="I51" i="12"/>
  <c r="E38" i="7"/>
  <c r="G42" i="1"/>
  <c r="L24" i="1"/>
  <c r="L42" i="1" s="1"/>
  <c r="H46" i="1" s="1"/>
  <c r="K46" i="1" s="1"/>
  <c r="G34" i="7"/>
  <c r="G146" i="5"/>
  <c r="G147" i="5" s="1"/>
  <c r="N146" i="5"/>
  <c r="N147" i="5" s="1"/>
  <c r="F146" i="5"/>
  <c r="F147" i="5" s="1"/>
  <c r="M146" i="5"/>
  <c r="M147" i="5" s="1"/>
  <c r="E146" i="5"/>
  <c r="E147" i="5" s="1"/>
  <c r="L146" i="5"/>
  <c r="L147" i="5" s="1"/>
  <c r="D146" i="5"/>
  <c r="D147" i="5" s="1"/>
  <c r="K146" i="5"/>
  <c r="K147" i="5" s="1"/>
  <c r="C146" i="5"/>
  <c r="C147" i="5" s="1"/>
  <c r="J146" i="5"/>
  <c r="J147" i="5" s="1"/>
  <c r="I146" i="5"/>
  <c r="I147" i="5" s="1"/>
  <c r="H146" i="5"/>
  <c r="H147" i="5" s="1"/>
  <c r="M40" i="5"/>
  <c r="M41" i="5" s="1"/>
  <c r="E40" i="5"/>
  <c r="E41" i="5" s="1"/>
  <c r="L40" i="5"/>
  <c r="L41" i="5" s="1"/>
  <c r="D40" i="5"/>
  <c r="D41" i="5" s="1"/>
  <c r="K40" i="5"/>
  <c r="K41" i="5" s="1"/>
  <c r="C40" i="5"/>
  <c r="C41" i="5" s="1"/>
  <c r="J40" i="5"/>
  <c r="J41" i="5" s="1"/>
  <c r="I40" i="5"/>
  <c r="I41" i="5" s="1"/>
  <c r="H40" i="5"/>
  <c r="H41" i="5" s="1"/>
  <c r="N40" i="5"/>
  <c r="N41" i="5" s="1"/>
  <c r="F40" i="5"/>
  <c r="F41" i="5" s="1"/>
  <c r="G40" i="5"/>
  <c r="G41" i="5" s="1"/>
  <c r="H26" i="10"/>
  <c r="D46" i="1"/>
  <c r="N196" i="5"/>
  <c r="N197" i="5" s="1"/>
  <c r="F196" i="5"/>
  <c r="F197" i="5" s="1"/>
  <c r="L196" i="5"/>
  <c r="L197" i="5" s="1"/>
  <c r="D196" i="5"/>
  <c r="D197" i="5" s="1"/>
  <c r="K196" i="5"/>
  <c r="K197" i="5" s="1"/>
  <c r="C196" i="5"/>
  <c r="C197" i="5" s="1"/>
  <c r="J196" i="5"/>
  <c r="J197" i="5" s="1"/>
  <c r="I196" i="5"/>
  <c r="I197" i="5" s="1"/>
  <c r="H196" i="5"/>
  <c r="H197" i="5" s="1"/>
  <c r="M196" i="5"/>
  <c r="M197" i="5" s="1"/>
  <c r="G196" i="5"/>
  <c r="G197" i="5" s="1"/>
  <c r="E196" i="5"/>
  <c r="E197" i="5" s="1"/>
  <c r="U23" i="8"/>
  <c r="G38" i="3"/>
  <c r="E46" i="1"/>
  <c r="C37" i="9" s="1"/>
  <c r="D37" i="9" s="1"/>
  <c r="G93" i="5"/>
  <c r="G94" i="5" s="1"/>
  <c r="N93" i="5"/>
  <c r="N94" i="5" s="1"/>
  <c r="F93" i="5"/>
  <c r="F94" i="5" s="1"/>
  <c r="M93" i="5"/>
  <c r="M94" i="5" s="1"/>
  <c r="E93" i="5"/>
  <c r="E94" i="5" s="1"/>
  <c r="L93" i="5"/>
  <c r="L94" i="5" s="1"/>
  <c r="D93" i="5"/>
  <c r="D94" i="5" s="1"/>
  <c r="K93" i="5"/>
  <c r="K94" i="5" s="1"/>
  <c r="C93" i="5"/>
  <c r="C94" i="5" s="1"/>
  <c r="J93" i="5"/>
  <c r="J94" i="5" s="1"/>
  <c r="I93" i="5"/>
  <c r="I94" i="5" s="1"/>
  <c r="H93" i="5"/>
  <c r="H94" i="5" s="1"/>
  <c r="E29" i="9"/>
  <c r="G61" i="5"/>
  <c r="G62" i="5"/>
  <c r="C200" i="5"/>
  <c r="C150" i="5"/>
  <c r="C97" i="5"/>
  <c r="C44" i="5"/>
  <c r="F35" i="3"/>
  <c r="H35" i="3" s="1"/>
  <c r="J35" i="3" s="1"/>
  <c r="E27" i="9"/>
  <c r="G28" i="9" s="1"/>
  <c r="H28" i="9" s="1"/>
  <c r="G46" i="1"/>
  <c r="E22" i="9"/>
  <c r="G23" i="9" s="1"/>
  <c r="H23" i="9" s="1"/>
  <c r="D27" i="10"/>
  <c r="E28" i="9"/>
  <c r="D26" i="10"/>
  <c r="J26" i="10" s="1"/>
  <c r="D25" i="10"/>
  <c r="G34" i="4"/>
  <c r="L31" i="4" s="1"/>
  <c r="C53" i="5"/>
  <c r="K53" i="5"/>
  <c r="D60" i="5"/>
  <c r="L60" i="5"/>
  <c r="H114" i="5"/>
  <c r="H115" i="5"/>
  <c r="E60" i="5"/>
  <c r="M60" i="5"/>
  <c r="C59" i="5"/>
  <c r="C60" i="5" s="1"/>
  <c r="K59" i="5"/>
  <c r="D107" i="5"/>
  <c r="D106" i="5"/>
  <c r="D112" i="5"/>
  <c r="L107" i="5"/>
  <c r="L112" i="5"/>
  <c r="L106" i="5"/>
  <c r="J53" i="5"/>
  <c r="F54" i="5"/>
  <c r="F60" i="5" s="1"/>
  <c r="N54" i="5"/>
  <c r="N60" i="5" s="1"/>
  <c r="J59" i="5"/>
  <c r="J60" i="5" s="1"/>
  <c r="D53" i="5"/>
  <c r="L53" i="5"/>
  <c r="H54" i="5"/>
  <c r="H60" i="5" s="1"/>
  <c r="D59" i="5"/>
  <c r="L59" i="5"/>
  <c r="E113" i="5"/>
  <c r="M113" i="5"/>
  <c r="E53" i="5"/>
  <c r="M53" i="5"/>
  <c r="I54" i="5"/>
  <c r="I60" i="5" s="1"/>
  <c r="E59" i="5"/>
  <c r="M59" i="5"/>
  <c r="F113" i="5"/>
  <c r="F53" i="5"/>
  <c r="N53" i="5"/>
  <c r="G53" i="5"/>
  <c r="H53" i="5"/>
  <c r="I167" i="5"/>
  <c r="I168" i="5"/>
  <c r="H167" i="5"/>
  <c r="H168" i="5"/>
  <c r="I53" i="5"/>
  <c r="E106" i="5"/>
  <c r="M106" i="5"/>
  <c r="I107" i="5"/>
  <c r="I113" i="5" s="1"/>
  <c r="E112" i="5"/>
  <c r="M112" i="5"/>
  <c r="F106" i="5"/>
  <c r="N106" i="5"/>
  <c r="J107" i="5"/>
  <c r="J113" i="5" s="1"/>
  <c r="F112" i="5"/>
  <c r="N112" i="5"/>
  <c r="G106" i="5"/>
  <c r="C107" i="5"/>
  <c r="C113" i="5" s="1"/>
  <c r="K107" i="5"/>
  <c r="K113" i="5" s="1"/>
  <c r="G112" i="5"/>
  <c r="H106" i="5"/>
  <c r="J166" i="5"/>
  <c r="D165" i="5"/>
  <c r="I106" i="5"/>
  <c r="E165" i="5"/>
  <c r="J106" i="5"/>
  <c r="E166" i="5"/>
  <c r="M166" i="5"/>
  <c r="L165" i="5"/>
  <c r="L166" i="5" s="1"/>
  <c r="C106" i="5"/>
  <c r="K106" i="5"/>
  <c r="F166" i="5"/>
  <c r="N166" i="5"/>
  <c r="E159" i="5"/>
  <c r="M165" i="5"/>
  <c r="E217" i="5"/>
  <c r="E218" i="5"/>
  <c r="F159" i="5"/>
  <c r="N159" i="5"/>
  <c r="F165" i="5"/>
  <c r="N165" i="5"/>
  <c r="I216" i="5"/>
  <c r="G159" i="5"/>
  <c r="C160" i="5"/>
  <c r="C166" i="5" s="1"/>
  <c r="K160" i="5"/>
  <c r="K166" i="5" s="1"/>
  <c r="G165" i="5"/>
  <c r="G166" i="5" s="1"/>
  <c r="H159" i="5"/>
  <c r="K216" i="5"/>
  <c r="H216" i="5"/>
  <c r="I159" i="5"/>
  <c r="L216" i="5"/>
  <c r="J159" i="5"/>
  <c r="C215" i="5"/>
  <c r="C159" i="5"/>
  <c r="K159" i="5"/>
  <c r="N216" i="5"/>
  <c r="C209" i="5"/>
  <c r="I215" i="5"/>
  <c r="D209" i="5"/>
  <c r="L209" i="5"/>
  <c r="D215" i="5"/>
  <c r="D216" i="5" s="1"/>
  <c r="L215" i="5"/>
  <c r="E209" i="5"/>
  <c r="M209" i="5"/>
  <c r="F209" i="5"/>
  <c r="N209" i="5"/>
  <c r="J210" i="5"/>
  <c r="J216" i="5" s="1"/>
  <c r="F215" i="5"/>
  <c r="F216" i="5" s="1"/>
  <c r="N215" i="5"/>
  <c r="G209" i="5"/>
  <c r="H209" i="5"/>
  <c r="J209" i="5"/>
  <c r="L168" i="5" l="1"/>
  <c r="L167" i="5"/>
  <c r="C62" i="5"/>
  <c r="C61" i="5"/>
  <c r="G168" i="5"/>
  <c r="G167" i="5"/>
  <c r="D218" i="5"/>
  <c r="D217" i="5"/>
  <c r="J62" i="5"/>
  <c r="J61" i="5"/>
  <c r="F218" i="5"/>
  <c r="F217" i="5"/>
  <c r="N168" i="5"/>
  <c r="N167" i="5"/>
  <c r="K96" i="5"/>
  <c r="K95" i="5"/>
  <c r="F148" i="5"/>
  <c r="F149" i="5"/>
  <c r="J217" i="5"/>
  <c r="J218" i="5"/>
  <c r="F168" i="5"/>
  <c r="F167" i="5"/>
  <c r="M168" i="5"/>
  <c r="M167" i="5"/>
  <c r="G113" i="5"/>
  <c r="N113" i="5"/>
  <c r="M115" i="5"/>
  <c r="M114" i="5"/>
  <c r="M62" i="5"/>
  <c r="M61" i="5"/>
  <c r="D95" i="5"/>
  <c r="D96" i="5"/>
  <c r="J199" i="5"/>
  <c r="J198" i="5"/>
  <c r="K42" i="5"/>
  <c r="K43" i="5"/>
  <c r="J149" i="5"/>
  <c r="J148" i="5"/>
  <c r="N148" i="5"/>
  <c r="N149" i="5"/>
  <c r="E29" i="10"/>
  <c r="G37" i="9"/>
  <c r="H37" i="9" s="1"/>
  <c r="H217" i="5"/>
  <c r="H218" i="5"/>
  <c r="E168" i="5"/>
  <c r="E167" i="5"/>
  <c r="K114" i="5"/>
  <c r="K115" i="5"/>
  <c r="J114" i="5"/>
  <c r="J115" i="5"/>
  <c r="F115" i="5"/>
  <c r="F114" i="5"/>
  <c r="E115" i="5"/>
  <c r="E114" i="5"/>
  <c r="E62" i="5"/>
  <c r="E61" i="5"/>
  <c r="L62" i="5"/>
  <c r="L61" i="5"/>
  <c r="K60" i="5"/>
  <c r="L95" i="5"/>
  <c r="L96" i="5"/>
  <c r="R33" i="4"/>
  <c r="H34" i="8"/>
  <c r="C198" i="5"/>
  <c r="C199" i="5"/>
  <c r="G43" i="5"/>
  <c r="G42" i="5"/>
  <c r="D42" i="5"/>
  <c r="D43" i="5"/>
  <c r="C149" i="5"/>
  <c r="C148" i="5"/>
  <c r="G148" i="5"/>
  <c r="G149" i="5"/>
  <c r="I149" i="5"/>
  <c r="I148" i="5"/>
  <c r="I218" i="5"/>
  <c r="I217" i="5"/>
  <c r="I198" i="5"/>
  <c r="I199" i="5"/>
  <c r="F43" i="5"/>
  <c r="F42" i="5"/>
  <c r="L42" i="5"/>
  <c r="L43" i="5"/>
  <c r="C216" i="5"/>
  <c r="K167" i="5"/>
  <c r="K168" i="5"/>
  <c r="J167" i="5"/>
  <c r="J168" i="5"/>
  <c r="L113" i="5"/>
  <c r="H96" i="5"/>
  <c r="H95" i="5"/>
  <c r="M95" i="5"/>
  <c r="M96" i="5"/>
  <c r="E199" i="5"/>
  <c r="E198" i="5"/>
  <c r="D198" i="5"/>
  <c r="D199" i="5"/>
  <c r="N43" i="5"/>
  <c r="N42" i="5"/>
  <c r="E42" i="5"/>
  <c r="E43" i="5"/>
  <c r="D148" i="5"/>
  <c r="D149" i="5"/>
  <c r="F34" i="2"/>
  <c r="F35" i="2"/>
  <c r="F29" i="2"/>
  <c r="F28" i="2"/>
  <c r="F38" i="2"/>
  <c r="F37" i="2"/>
  <c r="F32" i="2"/>
  <c r="F30" i="2"/>
  <c r="F31" i="2"/>
  <c r="F36" i="2"/>
  <c r="F33" i="2"/>
  <c r="C31" i="3"/>
  <c r="F39" i="2"/>
  <c r="L218" i="5"/>
  <c r="L217" i="5"/>
  <c r="C114" i="5"/>
  <c r="C115" i="5"/>
  <c r="E95" i="5"/>
  <c r="E96" i="5"/>
  <c r="K198" i="5"/>
  <c r="K199" i="5"/>
  <c r="K149" i="5"/>
  <c r="K148" i="5"/>
  <c r="C167" i="5"/>
  <c r="C168" i="5"/>
  <c r="D166" i="5"/>
  <c r="D44" i="5"/>
  <c r="C45" i="5"/>
  <c r="C49" i="5"/>
  <c r="I96" i="5"/>
  <c r="I95" i="5"/>
  <c r="F95" i="5"/>
  <c r="F96" i="5"/>
  <c r="G199" i="5"/>
  <c r="G198" i="5"/>
  <c r="L198" i="5"/>
  <c r="L199" i="5"/>
  <c r="H43" i="5"/>
  <c r="H42" i="5"/>
  <c r="M42" i="5"/>
  <c r="M43" i="5"/>
  <c r="L148" i="5"/>
  <c r="L149" i="5"/>
  <c r="I114" i="5"/>
  <c r="I115" i="5"/>
  <c r="C42" i="5"/>
  <c r="C43" i="5"/>
  <c r="N218" i="5"/>
  <c r="N217" i="5"/>
  <c r="D62" i="5"/>
  <c r="D61" i="5"/>
  <c r="C102" i="5"/>
  <c r="C98" i="5"/>
  <c r="D97" i="5"/>
  <c r="J96" i="5"/>
  <c r="J95" i="5"/>
  <c r="N95" i="5"/>
  <c r="N96" i="5"/>
  <c r="M199" i="5"/>
  <c r="M198" i="5"/>
  <c r="F198" i="5"/>
  <c r="F199" i="5"/>
  <c r="I43" i="5"/>
  <c r="I42" i="5"/>
  <c r="E148" i="5"/>
  <c r="E149" i="5"/>
  <c r="G33" i="7"/>
  <c r="G38" i="7"/>
  <c r="F61" i="5"/>
  <c r="F62" i="5"/>
  <c r="D200" i="5"/>
  <c r="C201" i="5"/>
  <c r="C205" i="5"/>
  <c r="K218" i="5"/>
  <c r="K217" i="5"/>
  <c r="I61" i="5"/>
  <c r="I62" i="5"/>
  <c r="H61" i="5"/>
  <c r="H62" i="5"/>
  <c r="N61" i="5"/>
  <c r="N62" i="5"/>
  <c r="D113" i="5"/>
  <c r="C155" i="5"/>
  <c r="C151" i="5"/>
  <c r="D150" i="5"/>
  <c r="C96" i="5"/>
  <c r="C95" i="5"/>
  <c r="G95" i="5"/>
  <c r="G96" i="5"/>
  <c r="H199" i="5"/>
  <c r="H198" i="5"/>
  <c r="N198" i="5"/>
  <c r="N199" i="5"/>
  <c r="J42" i="5"/>
  <c r="J43" i="5"/>
  <c r="H149" i="5"/>
  <c r="H148" i="5"/>
  <c r="M148" i="5"/>
  <c r="M149" i="5"/>
  <c r="AF43" i="2" l="1"/>
  <c r="J54" i="12"/>
  <c r="AM43" i="2"/>
  <c r="Y43" i="2"/>
  <c r="J48" i="12"/>
  <c r="C48" i="5"/>
  <c r="C63" i="5" s="1"/>
  <c r="C64" i="5" s="1"/>
  <c r="C65" i="5" s="1"/>
  <c r="C66" i="5" s="1"/>
  <c r="C46" i="5"/>
  <c r="C81" i="5" s="1"/>
  <c r="C82" i="5" s="1"/>
  <c r="C83" i="5" s="1"/>
  <c r="C84" i="5" s="1"/>
  <c r="C85" i="5" s="1"/>
  <c r="C47" i="5"/>
  <c r="AM39" i="2"/>
  <c r="J43" i="12"/>
  <c r="Y39" i="2"/>
  <c r="AF39" i="2"/>
  <c r="C204" i="5"/>
  <c r="C219" i="5" s="1"/>
  <c r="C220" i="5" s="1"/>
  <c r="C221" i="5" s="1"/>
  <c r="C222" i="5" s="1"/>
  <c r="C202" i="5"/>
  <c r="C203" i="5"/>
  <c r="J51" i="12"/>
  <c r="J50" i="12"/>
  <c r="L115" i="5"/>
  <c r="L114" i="5"/>
  <c r="J29" i="10"/>
  <c r="H29" i="10"/>
  <c r="N115" i="5"/>
  <c r="N114" i="5"/>
  <c r="E44" i="5"/>
  <c r="D49" i="5"/>
  <c r="D45" i="5"/>
  <c r="C208" i="5"/>
  <c r="C223" i="5" s="1"/>
  <c r="C224" i="5" s="1"/>
  <c r="C225" i="5" s="1"/>
  <c r="C226" i="5" s="1"/>
  <c r="C206" i="5"/>
  <c r="C207" i="5"/>
  <c r="AM40" i="2"/>
  <c r="J44" i="12"/>
  <c r="Y40" i="2"/>
  <c r="AF40" i="2"/>
  <c r="D205" i="5"/>
  <c r="D201" i="5"/>
  <c r="E200" i="5"/>
  <c r="J46" i="12"/>
  <c r="J49" i="12"/>
  <c r="G115" i="5"/>
  <c r="G114" i="5"/>
  <c r="D168" i="5"/>
  <c r="D167" i="5"/>
  <c r="E97" i="5"/>
  <c r="D98" i="5"/>
  <c r="D102" i="5"/>
  <c r="AM41" i="2"/>
  <c r="J45" i="12"/>
  <c r="Y41" i="2"/>
  <c r="AF41" i="2"/>
  <c r="C157" i="5"/>
  <c r="C158" i="5"/>
  <c r="C173" i="5" s="1"/>
  <c r="C174" i="5" s="1"/>
  <c r="C175" i="5" s="1"/>
  <c r="C176" i="5" s="1"/>
  <c r="C156" i="5"/>
  <c r="D115" i="5"/>
  <c r="D114" i="5"/>
  <c r="J47" i="12"/>
  <c r="AF42" i="2"/>
  <c r="J53" i="12"/>
  <c r="Y42" i="2"/>
  <c r="AM42" i="2"/>
  <c r="H38" i="3"/>
  <c r="I22" i="3" s="1"/>
  <c r="C218" i="5"/>
  <c r="C217" i="5"/>
  <c r="C237" i="5" s="1"/>
  <c r="C238" i="5" s="1"/>
  <c r="E150" i="5"/>
  <c r="D151" i="5"/>
  <c r="D155" i="5"/>
  <c r="C100" i="5"/>
  <c r="C101" i="5"/>
  <c r="C116" i="5" s="1"/>
  <c r="C117" i="5" s="1"/>
  <c r="C118" i="5" s="1"/>
  <c r="C119" i="5" s="1"/>
  <c r="C124" i="5" s="1"/>
  <c r="C125" i="5" s="1"/>
  <c r="C127" i="5" s="1"/>
  <c r="C99" i="5"/>
  <c r="C134" i="5" s="1"/>
  <c r="C135" i="5" s="1"/>
  <c r="C136" i="5" s="1"/>
  <c r="C137" i="5" s="1"/>
  <c r="C138" i="5" s="1"/>
  <c r="C153" i="5"/>
  <c r="C183" i="5" s="1"/>
  <c r="C154" i="5"/>
  <c r="C169" i="5" s="1"/>
  <c r="C170" i="5" s="1"/>
  <c r="C171" i="5" s="1"/>
  <c r="C172" i="5" s="1"/>
  <c r="C152" i="5"/>
  <c r="C187" i="5" s="1"/>
  <c r="C188" i="5" s="1"/>
  <c r="C189" i="5" s="1"/>
  <c r="C190" i="5" s="1"/>
  <c r="C191" i="5" s="1"/>
  <c r="I23" i="7"/>
  <c r="T22" i="7"/>
  <c r="I22" i="7"/>
  <c r="Q20" i="9"/>
  <c r="C22" i="9"/>
  <c r="D22" i="9" s="1"/>
  <c r="C104" i="5"/>
  <c r="C105" i="5"/>
  <c r="C120" i="5" s="1"/>
  <c r="C121" i="5" s="1"/>
  <c r="C122" i="5" s="1"/>
  <c r="C123" i="5" s="1"/>
  <c r="C103" i="5"/>
  <c r="C52" i="5"/>
  <c r="C67" i="5" s="1"/>
  <c r="C68" i="5" s="1"/>
  <c r="C69" i="5" s="1"/>
  <c r="C70" i="5" s="1"/>
  <c r="C50" i="5"/>
  <c r="C51" i="5"/>
  <c r="C27" i="9"/>
  <c r="D27" i="9" s="1"/>
  <c r="J52" i="12"/>
  <c r="K62" i="5"/>
  <c r="K61" i="5"/>
  <c r="C184" i="5" l="1"/>
  <c r="V45" i="12"/>
  <c r="D208" i="5"/>
  <c r="D223" i="5" s="1"/>
  <c r="D224" i="5" s="1"/>
  <c r="D225" i="5" s="1"/>
  <c r="D226" i="5" s="1"/>
  <c r="D206" i="5"/>
  <c r="D207" i="5"/>
  <c r="C227" i="5"/>
  <c r="C228" i="5" s="1"/>
  <c r="C230" i="5" s="1"/>
  <c r="C77" i="5"/>
  <c r="C129" i="5"/>
  <c r="C128" i="5"/>
  <c r="V47" i="12"/>
  <c r="D105" i="5"/>
  <c r="D120" i="5" s="1"/>
  <c r="D121" i="5" s="1"/>
  <c r="D122" i="5" s="1"/>
  <c r="D123" i="5" s="1"/>
  <c r="D103" i="5"/>
  <c r="D104" i="5"/>
  <c r="D52" i="5"/>
  <c r="D67" i="5" s="1"/>
  <c r="D68" i="5" s="1"/>
  <c r="D69" i="5" s="1"/>
  <c r="D70" i="5" s="1"/>
  <c r="D50" i="5"/>
  <c r="D51" i="5"/>
  <c r="E25" i="10"/>
  <c r="P25" i="10" s="1"/>
  <c r="G27" i="9"/>
  <c r="H27" i="9" s="1"/>
  <c r="T23" i="7"/>
  <c r="T25" i="7" s="1"/>
  <c r="T26" i="7" s="1"/>
  <c r="V54" i="12"/>
  <c r="V51" i="12"/>
  <c r="C130" i="5"/>
  <c r="C131" i="5" s="1"/>
  <c r="C71" i="5"/>
  <c r="C72" i="5" s="1"/>
  <c r="C74" i="5" s="1"/>
  <c r="D158" i="5"/>
  <c r="D173" i="5" s="1"/>
  <c r="D174" i="5" s="1"/>
  <c r="D175" i="5" s="1"/>
  <c r="D176" i="5" s="1"/>
  <c r="D156" i="5"/>
  <c r="D157" i="5"/>
  <c r="V46" i="12"/>
  <c r="V44" i="12"/>
  <c r="E49" i="5"/>
  <c r="E45" i="5"/>
  <c r="F44" i="5"/>
  <c r="D154" i="5"/>
  <c r="D169" i="5" s="1"/>
  <c r="D170" i="5" s="1"/>
  <c r="D171" i="5" s="1"/>
  <c r="D172" i="5" s="1"/>
  <c r="D152" i="5"/>
  <c r="D187" i="5" s="1"/>
  <c r="D188" i="5" s="1"/>
  <c r="D189" i="5" s="1"/>
  <c r="D190" i="5" s="1"/>
  <c r="D191" i="5" s="1"/>
  <c r="D153" i="5"/>
  <c r="D183" i="5" s="1"/>
  <c r="F97" i="5"/>
  <c r="E102" i="5"/>
  <c r="E98" i="5"/>
  <c r="V43" i="12"/>
  <c r="I38" i="3"/>
  <c r="V49" i="12"/>
  <c r="D48" i="5"/>
  <c r="D63" i="5" s="1"/>
  <c r="D64" i="5" s="1"/>
  <c r="D65" i="5" s="1"/>
  <c r="D66" i="5" s="1"/>
  <c r="D71" i="5" s="1"/>
  <c r="D72" i="5" s="1"/>
  <c r="D74" i="5" s="1"/>
  <c r="D46" i="5"/>
  <c r="D81" i="5" s="1"/>
  <c r="D47" i="5"/>
  <c r="V50" i="12"/>
  <c r="D134" i="5"/>
  <c r="D135" i="5" s="1"/>
  <c r="D136" i="5" s="1"/>
  <c r="D137" i="5" s="1"/>
  <c r="D138" i="5" s="1"/>
  <c r="D101" i="5"/>
  <c r="D116" i="5" s="1"/>
  <c r="D117" i="5" s="1"/>
  <c r="D118" i="5" s="1"/>
  <c r="D119" i="5" s="1"/>
  <c r="D124" i="5" s="1"/>
  <c r="D125" i="5" s="1"/>
  <c r="D127" i="5" s="1"/>
  <c r="D99" i="5"/>
  <c r="D100" i="5"/>
  <c r="V52" i="12"/>
  <c r="C177" i="5"/>
  <c r="C178" i="5" s="1"/>
  <c r="C180" i="5" s="1"/>
  <c r="F150" i="5"/>
  <c r="E151" i="5"/>
  <c r="E155" i="5"/>
  <c r="V53" i="12"/>
  <c r="F200" i="5"/>
  <c r="E205" i="5"/>
  <c r="E201" i="5"/>
  <c r="C233" i="5"/>
  <c r="C234" i="5" s="1"/>
  <c r="C78" i="5"/>
  <c r="G22" i="9"/>
  <c r="H22" i="9" s="1"/>
  <c r="E24" i="10"/>
  <c r="C239" i="5"/>
  <c r="C240" i="5" s="1"/>
  <c r="C241" i="5" s="1"/>
  <c r="D204" i="5"/>
  <c r="D219" i="5" s="1"/>
  <c r="D220" i="5" s="1"/>
  <c r="D221" i="5" s="1"/>
  <c r="D222" i="5" s="1"/>
  <c r="D202" i="5"/>
  <c r="D237" i="5" s="1"/>
  <c r="D238" i="5" s="1"/>
  <c r="D239" i="5" s="1"/>
  <c r="D240" i="5" s="1"/>
  <c r="D241" i="5" s="1"/>
  <c r="D203" i="5"/>
  <c r="V48" i="12"/>
  <c r="I25" i="7" l="1"/>
  <c r="I24" i="7"/>
  <c r="D129" i="5"/>
  <c r="D128" i="5"/>
  <c r="G97" i="5"/>
  <c r="F102" i="5"/>
  <c r="F98" i="5"/>
  <c r="D227" i="5"/>
  <c r="D228" i="5" s="1"/>
  <c r="D230" i="5" s="1"/>
  <c r="G150" i="5"/>
  <c r="F155" i="5"/>
  <c r="F151" i="5"/>
  <c r="E207" i="5"/>
  <c r="E206" i="5"/>
  <c r="E208" i="5"/>
  <c r="E223" i="5" s="1"/>
  <c r="E224" i="5" s="1"/>
  <c r="E225" i="5" s="1"/>
  <c r="E226" i="5" s="1"/>
  <c r="D78" i="5"/>
  <c r="K28" i="12"/>
  <c r="E154" i="5"/>
  <c r="E169" i="5" s="1"/>
  <c r="E170" i="5" s="1"/>
  <c r="E171" i="5" s="1"/>
  <c r="E172" i="5" s="1"/>
  <c r="E152" i="5"/>
  <c r="E187" i="5" s="1"/>
  <c r="E153" i="5"/>
  <c r="E183" i="5" s="1"/>
  <c r="C182" i="5"/>
  <c r="C185" i="5" s="1"/>
  <c r="C193" i="5" s="1"/>
  <c r="C181" i="5"/>
  <c r="E27" i="10"/>
  <c r="J24" i="10"/>
  <c r="H24" i="10"/>
  <c r="D177" i="5"/>
  <c r="D178" i="5" s="1"/>
  <c r="D180" i="5" s="1"/>
  <c r="D184" i="5"/>
  <c r="D131" i="5"/>
  <c r="C76" i="5"/>
  <c r="C79" i="5" s="1"/>
  <c r="C87" i="5" s="1"/>
  <c r="C75" i="5"/>
  <c r="E203" i="5"/>
  <c r="E202" i="5"/>
  <c r="E237" i="5" s="1"/>
  <c r="E238" i="5" s="1"/>
  <c r="E239" i="5" s="1"/>
  <c r="E240" i="5" s="1"/>
  <c r="E241" i="5" s="1"/>
  <c r="E204" i="5"/>
  <c r="E219" i="5" s="1"/>
  <c r="E220" i="5" s="1"/>
  <c r="E221" i="5" s="1"/>
  <c r="E222" i="5" s="1"/>
  <c r="F205" i="5"/>
  <c r="F201" i="5"/>
  <c r="G200" i="5"/>
  <c r="D77" i="5"/>
  <c r="D82" i="5"/>
  <c r="D83" i="5" s="1"/>
  <c r="D84" i="5" s="1"/>
  <c r="D85" i="5" s="1"/>
  <c r="F49" i="5"/>
  <c r="F45" i="5"/>
  <c r="G44" i="5"/>
  <c r="C132" i="5"/>
  <c r="C140" i="5" s="1"/>
  <c r="C231" i="5"/>
  <c r="C232" i="5"/>
  <c r="C235" i="5" s="1"/>
  <c r="C243" i="5" s="1"/>
  <c r="I21" i="3"/>
  <c r="I23" i="3"/>
  <c r="D130" i="5"/>
  <c r="E101" i="5"/>
  <c r="E116" i="5" s="1"/>
  <c r="E117" i="5" s="1"/>
  <c r="E118" i="5" s="1"/>
  <c r="E119" i="5" s="1"/>
  <c r="E99" i="5"/>
  <c r="E134" i="5" s="1"/>
  <c r="E135" i="5" s="1"/>
  <c r="E136" i="5" s="1"/>
  <c r="E137" i="5" s="1"/>
  <c r="E138" i="5" s="1"/>
  <c r="E100" i="5"/>
  <c r="E130" i="5" s="1"/>
  <c r="D76" i="5"/>
  <c r="D75" i="5"/>
  <c r="E48" i="5"/>
  <c r="E63" i="5" s="1"/>
  <c r="E64" i="5" s="1"/>
  <c r="E65" i="5" s="1"/>
  <c r="E66" i="5" s="1"/>
  <c r="E46" i="5"/>
  <c r="E81" i="5" s="1"/>
  <c r="E47" i="5"/>
  <c r="E77" i="5" s="1"/>
  <c r="D233" i="5"/>
  <c r="D234" i="5" s="1"/>
  <c r="E158" i="5"/>
  <c r="E173" i="5" s="1"/>
  <c r="E174" i="5" s="1"/>
  <c r="E175" i="5" s="1"/>
  <c r="E176" i="5" s="1"/>
  <c r="E156" i="5"/>
  <c r="E157" i="5"/>
  <c r="E105" i="5"/>
  <c r="E120" i="5" s="1"/>
  <c r="E121" i="5" s="1"/>
  <c r="E122" i="5" s="1"/>
  <c r="E123" i="5" s="1"/>
  <c r="E103" i="5"/>
  <c r="E104" i="5"/>
  <c r="E52" i="5"/>
  <c r="E67" i="5" s="1"/>
  <c r="E68" i="5" s="1"/>
  <c r="E69" i="5" s="1"/>
  <c r="E70" i="5" s="1"/>
  <c r="E50" i="5"/>
  <c r="E51" i="5"/>
  <c r="AN39" i="2" l="1"/>
  <c r="E227" i="5"/>
  <c r="E228" i="5" s="1"/>
  <c r="E230" i="5" s="1"/>
  <c r="G28" i="2"/>
  <c r="M54" i="12"/>
  <c r="M53" i="12"/>
  <c r="M52" i="12"/>
  <c r="M51" i="12"/>
  <c r="M50" i="12"/>
  <c r="M49" i="12"/>
  <c r="M48" i="12"/>
  <c r="M47" i="12"/>
  <c r="M46" i="12"/>
  <c r="M45" i="12"/>
  <c r="M44" i="12"/>
  <c r="M43" i="12"/>
  <c r="M28" i="12"/>
  <c r="D232" i="5"/>
  <c r="D235" i="5" s="1"/>
  <c r="D243" i="5" s="1"/>
  <c r="AN40" i="2" s="1"/>
  <c r="D231" i="5"/>
  <c r="E82" i="5"/>
  <c r="E83" i="5" s="1"/>
  <c r="E84" i="5" s="1"/>
  <c r="E85" i="5" s="1"/>
  <c r="F105" i="5"/>
  <c r="F120" i="5" s="1"/>
  <c r="F121" i="5" s="1"/>
  <c r="F122" i="5" s="1"/>
  <c r="F123" i="5" s="1"/>
  <c r="F103" i="5"/>
  <c r="F104" i="5"/>
  <c r="F131" i="5" s="1"/>
  <c r="F101" i="5"/>
  <c r="F116" i="5" s="1"/>
  <c r="F117" i="5" s="1"/>
  <c r="F118" i="5" s="1"/>
  <c r="F119" i="5" s="1"/>
  <c r="F99" i="5"/>
  <c r="F134" i="5" s="1"/>
  <c r="F100" i="5"/>
  <c r="F130" i="5" s="1"/>
  <c r="E71" i="5"/>
  <c r="E72" i="5" s="1"/>
  <c r="E74" i="5" s="1"/>
  <c r="G49" i="5"/>
  <c r="G45" i="5"/>
  <c r="H44" i="5"/>
  <c r="D181" i="5"/>
  <c r="D182" i="5"/>
  <c r="D185" i="5" s="1"/>
  <c r="D193" i="5" s="1"/>
  <c r="AG40" i="2" s="1"/>
  <c r="E188" i="5"/>
  <c r="E189" i="5" s="1"/>
  <c r="E190" i="5" s="1"/>
  <c r="E191" i="5" s="1"/>
  <c r="G102" i="5"/>
  <c r="G98" i="5"/>
  <c r="H97" i="5"/>
  <c r="AG39" i="2"/>
  <c r="Z39" i="2"/>
  <c r="F47" i="5"/>
  <c r="F48" i="5"/>
  <c r="F63" i="5" s="1"/>
  <c r="F64" i="5" s="1"/>
  <c r="F65" i="5" s="1"/>
  <c r="F66" i="5" s="1"/>
  <c r="F71" i="5" s="1"/>
  <c r="F72" i="5" s="1"/>
  <c r="F74" i="5" s="1"/>
  <c r="F46" i="5"/>
  <c r="F81" i="5" s="1"/>
  <c r="F82" i="5" s="1"/>
  <c r="F83" i="5" s="1"/>
  <c r="F84" i="5" s="1"/>
  <c r="F85" i="5" s="1"/>
  <c r="E177" i="5"/>
  <c r="E178" i="5" s="1"/>
  <c r="E180" i="5" s="1"/>
  <c r="E234" i="5"/>
  <c r="E124" i="5"/>
  <c r="E125" i="5" s="1"/>
  <c r="E127" i="5" s="1"/>
  <c r="E184" i="5"/>
  <c r="D79" i="5"/>
  <c r="D87" i="5" s="1"/>
  <c r="G29" i="2" s="1"/>
  <c r="F51" i="5"/>
  <c r="F52" i="5"/>
  <c r="F67" i="5" s="1"/>
  <c r="F68" i="5" s="1"/>
  <c r="F69" i="5" s="1"/>
  <c r="F70" i="5" s="1"/>
  <c r="F50" i="5"/>
  <c r="G205" i="5"/>
  <c r="G201" i="5"/>
  <c r="H200" i="5"/>
  <c r="F154" i="5"/>
  <c r="F169" i="5" s="1"/>
  <c r="F170" i="5" s="1"/>
  <c r="F171" i="5" s="1"/>
  <c r="F172" i="5" s="1"/>
  <c r="F177" i="5" s="1"/>
  <c r="F178" i="5" s="1"/>
  <c r="F180" i="5" s="1"/>
  <c r="F152" i="5"/>
  <c r="F187" i="5" s="1"/>
  <c r="F188" i="5" s="1"/>
  <c r="F189" i="5" s="1"/>
  <c r="F190" i="5" s="1"/>
  <c r="F191" i="5" s="1"/>
  <c r="F153" i="5"/>
  <c r="D132" i="5"/>
  <c r="D140" i="5" s="1"/>
  <c r="Z40" i="2" s="1"/>
  <c r="E131" i="5"/>
  <c r="E233" i="5"/>
  <c r="F204" i="5"/>
  <c r="F219" i="5" s="1"/>
  <c r="F220" i="5" s="1"/>
  <c r="F221" i="5" s="1"/>
  <c r="F222" i="5" s="1"/>
  <c r="F202" i="5"/>
  <c r="F237" i="5" s="1"/>
  <c r="F203" i="5"/>
  <c r="F233" i="5" s="1"/>
  <c r="F158" i="5"/>
  <c r="F173" i="5" s="1"/>
  <c r="F174" i="5" s="1"/>
  <c r="F175" i="5" s="1"/>
  <c r="F176" i="5" s="1"/>
  <c r="F156" i="5"/>
  <c r="F157" i="5"/>
  <c r="E78" i="5"/>
  <c r="F208" i="5"/>
  <c r="F223" i="5" s="1"/>
  <c r="F224" i="5" s="1"/>
  <c r="F225" i="5" s="1"/>
  <c r="F226" i="5" s="1"/>
  <c r="F206" i="5"/>
  <c r="F207" i="5"/>
  <c r="J27" i="10"/>
  <c r="H27" i="10"/>
  <c r="G155" i="5"/>
  <c r="G151" i="5"/>
  <c r="H150" i="5"/>
  <c r="F227" i="5" l="1"/>
  <c r="F228" i="5" s="1"/>
  <c r="F230" i="5" s="1"/>
  <c r="H205" i="5"/>
  <c r="H201" i="5"/>
  <c r="I200" i="5"/>
  <c r="G203" i="5"/>
  <c r="G202" i="5"/>
  <c r="G237" i="5" s="1"/>
  <c r="G238" i="5" s="1"/>
  <c r="G239" i="5" s="1"/>
  <c r="G240" i="5" s="1"/>
  <c r="G241" i="5" s="1"/>
  <c r="G204" i="5"/>
  <c r="G219" i="5" s="1"/>
  <c r="G220" i="5" s="1"/>
  <c r="G221" i="5" s="1"/>
  <c r="G222" i="5" s="1"/>
  <c r="G227" i="5" s="1"/>
  <c r="G228" i="5" s="1"/>
  <c r="G230" i="5" s="1"/>
  <c r="G207" i="5"/>
  <c r="G206" i="5"/>
  <c r="G208" i="5"/>
  <c r="G223" i="5" s="1"/>
  <c r="G224" i="5" s="1"/>
  <c r="G225" i="5" s="1"/>
  <c r="G226" i="5" s="1"/>
  <c r="E181" i="5"/>
  <c r="E182" i="5"/>
  <c r="E185" i="5" s="1"/>
  <c r="E193" i="5" s="1"/>
  <c r="H102" i="5"/>
  <c r="H98" i="5"/>
  <c r="I97" i="5"/>
  <c r="G51" i="5"/>
  <c r="G50" i="5"/>
  <c r="G52" i="5"/>
  <c r="G67" i="5" s="1"/>
  <c r="G68" i="5" s="1"/>
  <c r="G69" i="5" s="1"/>
  <c r="G70" i="5" s="1"/>
  <c r="W111" i="12"/>
  <c r="E43" i="12" s="1"/>
  <c r="J28" i="2"/>
  <c r="L28" i="2"/>
  <c r="H28" i="2"/>
  <c r="E128" i="5"/>
  <c r="E129" i="5"/>
  <c r="E132" i="5" s="1"/>
  <c r="E140" i="5" s="1"/>
  <c r="G47" i="5"/>
  <c r="G48" i="5"/>
  <c r="G63" i="5" s="1"/>
  <c r="G64" i="5" s="1"/>
  <c r="G65" i="5" s="1"/>
  <c r="G66" i="5" s="1"/>
  <c r="G71" i="5" s="1"/>
  <c r="G72" i="5" s="1"/>
  <c r="G74" i="5" s="1"/>
  <c r="G46" i="5"/>
  <c r="G81" i="5" s="1"/>
  <c r="G82" i="5" s="1"/>
  <c r="G83" i="5" s="1"/>
  <c r="G84" i="5" s="1"/>
  <c r="G85" i="5" s="1"/>
  <c r="H155" i="5"/>
  <c r="H151" i="5"/>
  <c r="I150" i="5"/>
  <c r="G154" i="5"/>
  <c r="G169" i="5" s="1"/>
  <c r="G170" i="5" s="1"/>
  <c r="G171" i="5" s="1"/>
  <c r="G172" i="5" s="1"/>
  <c r="G152" i="5"/>
  <c r="G187" i="5" s="1"/>
  <c r="G188" i="5" s="1"/>
  <c r="G189" i="5" s="1"/>
  <c r="G190" i="5" s="1"/>
  <c r="G191" i="5" s="1"/>
  <c r="G153" i="5"/>
  <c r="G101" i="5"/>
  <c r="G116" i="5" s="1"/>
  <c r="G117" i="5" s="1"/>
  <c r="G118" i="5" s="1"/>
  <c r="G119" i="5" s="1"/>
  <c r="G99" i="5"/>
  <c r="G134" i="5" s="1"/>
  <c r="G100" i="5"/>
  <c r="G130" i="5" s="1"/>
  <c r="E76" i="5"/>
  <c r="E79" i="5" s="1"/>
  <c r="E87" i="5" s="1"/>
  <c r="G30" i="2" s="1"/>
  <c r="E75" i="5"/>
  <c r="F182" i="5"/>
  <c r="F181" i="5"/>
  <c r="F238" i="5"/>
  <c r="F239" i="5" s="1"/>
  <c r="F240" i="5" s="1"/>
  <c r="F241" i="5" s="1"/>
  <c r="H49" i="5"/>
  <c r="H45" i="5"/>
  <c r="I44" i="5"/>
  <c r="F184" i="5"/>
  <c r="G105" i="5"/>
  <c r="G120" i="5" s="1"/>
  <c r="G121" i="5" s="1"/>
  <c r="G122" i="5" s="1"/>
  <c r="G123" i="5" s="1"/>
  <c r="G103" i="5"/>
  <c r="G104" i="5"/>
  <c r="AP40" i="2"/>
  <c r="AO40" i="2"/>
  <c r="E232" i="5"/>
  <c r="E235" i="5" s="1"/>
  <c r="E243" i="5" s="1"/>
  <c r="AN41" i="2" s="1"/>
  <c r="E231" i="5"/>
  <c r="F234" i="5"/>
  <c r="F76" i="5"/>
  <c r="F75" i="5"/>
  <c r="F183" i="5"/>
  <c r="F78" i="5"/>
  <c r="F77" i="5"/>
  <c r="F135" i="5"/>
  <c r="F136" i="5" s="1"/>
  <c r="F137" i="5" s="1"/>
  <c r="F138" i="5" s="1"/>
  <c r="AP39" i="2"/>
  <c r="AO39" i="2"/>
  <c r="AI39" i="2"/>
  <c r="AH39" i="2"/>
  <c r="G158" i="5"/>
  <c r="G173" i="5" s="1"/>
  <c r="G174" i="5" s="1"/>
  <c r="G175" i="5" s="1"/>
  <c r="G176" i="5" s="1"/>
  <c r="G156" i="5"/>
  <c r="G157" i="5"/>
  <c r="AB40" i="2"/>
  <c r="AA40" i="2"/>
  <c r="W112" i="12"/>
  <c r="E44" i="12" s="1"/>
  <c r="U44" i="12" s="1"/>
  <c r="L29" i="2"/>
  <c r="J29" i="2"/>
  <c r="H29" i="2"/>
  <c r="AB39" i="2"/>
  <c r="AA39" i="2"/>
  <c r="AI40" i="2"/>
  <c r="AH40" i="2"/>
  <c r="F124" i="5"/>
  <c r="F125" i="5" s="1"/>
  <c r="F127" i="5" s="1"/>
  <c r="I155" i="5" l="1"/>
  <c r="I151" i="5"/>
  <c r="J150" i="5"/>
  <c r="I49" i="5"/>
  <c r="I45" i="5"/>
  <c r="J44" i="5"/>
  <c r="H157" i="5"/>
  <c r="H156" i="5"/>
  <c r="H158" i="5"/>
  <c r="H173" i="5" s="1"/>
  <c r="H174" i="5" s="1"/>
  <c r="H175" i="5" s="1"/>
  <c r="H176" i="5" s="1"/>
  <c r="H51" i="5"/>
  <c r="H52" i="5"/>
  <c r="H67" i="5" s="1"/>
  <c r="H68" i="5" s="1"/>
  <c r="H69" i="5" s="1"/>
  <c r="H70" i="5" s="1"/>
  <c r="H50" i="5"/>
  <c r="G135" i="5"/>
  <c r="G136" i="5" s="1"/>
  <c r="G137" i="5" s="1"/>
  <c r="G138" i="5" s="1"/>
  <c r="H104" i="5"/>
  <c r="H105" i="5"/>
  <c r="H120" i="5" s="1"/>
  <c r="H121" i="5" s="1"/>
  <c r="H122" i="5" s="1"/>
  <c r="H123" i="5" s="1"/>
  <c r="H103" i="5"/>
  <c r="G233" i="5"/>
  <c r="G234" i="5" s="1"/>
  <c r="W113" i="12"/>
  <c r="E45" i="12" s="1"/>
  <c r="U45" i="12" s="1"/>
  <c r="J30" i="2"/>
  <c r="L30" i="2"/>
  <c r="H30" i="2"/>
  <c r="H153" i="5"/>
  <c r="H152" i="5"/>
  <c r="H187" i="5" s="1"/>
  <c r="H188" i="5" s="1"/>
  <c r="H189" i="5" s="1"/>
  <c r="H190" i="5" s="1"/>
  <c r="H191" i="5" s="1"/>
  <c r="H154" i="5"/>
  <c r="H169" i="5" s="1"/>
  <c r="H170" i="5" s="1"/>
  <c r="H171" i="5" s="1"/>
  <c r="H172" i="5" s="1"/>
  <c r="H177" i="5" s="1"/>
  <c r="H178" i="5" s="1"/>
  <c r="H180" i="5" s="1"/>
  <c r="I102" i="5"/>
  <c r="I98" i="5"/>
  <c r="J97" i="5"/>
  <c r="H100" i="5"/>
  <c r="H99" i="5"/>
  <c r="H134" i="5" s="1"/>
  <c r="H135" i="5" s="1"/>
  <c r="H136" i="5" s="1"/>
  <c r="H137" i="5" s="1"/>
  <c r="H138" i="5" s="1"/>
  <c r="H101" i="5"/>
  <c r="H116" i="5" s="1"/>
  <c r="H117" i="5" s="1"/>
  <c r="H118" i="5" s="1"/>
  <c r="H119" i="5" s="1"/>
  <c r="H124" i="5" s="1"/>
  <c r="H125" i="5" s="1"/>
  <c r="H127" i="5" s="1"/>
  <c r="G76" i="5"/>
  <c r="G75" i="5"/>
  <c r="AG41" i="2"/>
  <c r="J200" i="5"/>
  <c r="I205" i="5"/>
  <c r="I201" i="5"/>
  <c r="T38" i="3"/>
  <c r="J38" i="3" s="1"/>
  <c r="G124" i="5"/>
  <c r="G125" i="5" s="1"/>
  <c r="G127" i="5" s="1"/>
  <c r="F128" i="5"/>
  <c r="F129" i="5"/>
  <c r="F132" i="5" s="1"/>
  <c r="F140" i="5" s="1"/>
  <c r="G131" i="5"/>
  <c r="G183" i="5"/>
  <c r="G77" i="5"/>
  <c r="G78" i="5" s="1"/>
  <c r="U43" i="12"/>
  <c r="H203" i="5"/>
  <c r="H204" i="5"/>
  <c r="H219" i="5" s="1"/>
  <c r="H220" i="5" s="1"/>
  <c r="H221" i="5" s="1"/>
  <c r="H222" i="5" s="1"/>
  <c r="H227" i="5" s="1"/>
  <c r="H228" i="5" s="1"/>
  <c r="H230" i="5" s="1"/>
  <c r="H202" i="5"/>
  <c r="H237" i="5" s="1"/>
  <c r="G232" i="5"/>
  <c r="G231" i="5"/>
  <c r="H47" i="5"/>
  <c r="H48" i="5"/>
  <c r="H63" i="5" s="1"/>
  <c r="H64" i="5" s="1"/>
  <c r="H65" i="5" s="1"/>
  <c r="H66" i="5" s="1"/>
  <c r="H71" i="5" s="1"/>
  <c r="H72" i="5" s="1"/>
  <c r="H74" i="5" s="1"/>
  <c r="H46" i="5"/>
  <c r="H81" i="5" s="1"/>
  <c r="H82" i="5" s="1"/>
  <c r="H83" i="5" s="1"/>
  <c r="H84" i="5" s="1"/>
  <c r="H85" i="5" s="1"/>
  <c r="H207" i="5"/>
  <c r="H208" i="5"/>
  <c r="H223" i="5" s="1"/>
  <c r="H224" i="5" s="1"/>
  <c r="H225" i="5" s="1"/>
  <c r="H226" i="5" s="1"/>
  <c r="H206" i="5"/>
  <c r="G184" i="5"/>
  <c r="AP41" i="2"/>
  <c r="AO41" i="2"/>
  <c r="X58" i="12"/>
  <c r="AA57" i="12"/>
  <c r="X63" i="12"/>
  <c r="AA62" i="12"/>
  <c r="X55" i="12"/>
  <c r="X60" i="12"/>
  <c r="AA59" i="12"/>
  <c r="X62" i="12"/>
  <c r="AA61" i="12"/>
  <c r="X61" i="12"/>
  <c r="AA60" i="12"/>
  <c r="AA63" i="12"/>
  <c r="X56" i="12"/>
  <c r="Z43" i="12"/>
  <c r="X57" i="12"/>
  <c r="X54" i="12"/>
  <c r="X59" i="12"/>
  <c r="AA58" i="12"/>
  <c r="AA56" i="12"/>
  <c r="AA55" i="12"/>
  <c r="AA54" i="12"/>
  <c r="Y43" i="12"/>
  <c r="F185" i="5"/>
  <c r="F193" i="5" s="1"/>
  <c r="Z41" i="2"/>
  <c r="F79" i="5"/>
  <c r="F87" i="5" s="1"/>
  <c r="G31" i="2" s="1"/>
  <c r="G177" i="5"/>
  <c r="G178" i="5" s="1"/>
  <c r="G180" i="5" s="1"/>
  <c r="F232" i="5"/>
  <c r="F235" i="5" s="1"/>
  <c r="F243" i="5" s="1"/>
  <c r="F231" i="5"/>
  <c r="H231" i="5" l="1"/>
  <c r="H232" i="5"/>
  <c r="I51" i="5"/>
  <c r="I52" i="5"/>
  <c r="I67" i="5" s="1"/>
  <c r="I68" i="5" s="1"/>
  <c r="I69" i="5" s="1"/>
  <c r="I70" i="5" s="1"/>
  <c r="I50" i="5"/>
  <c r="H233" i="5"/>
  <c r="H234" i="5" s="1"/>
  <c r="G128" i="5"/>
  <c r="G129" i="5"/>
  <c r="G132" i="5" s="1"/>
  <c r="G140" i="5" s="1"/>
  <c r="I100" i="5"/>
  <c r="I101" i="5"/>
  <c r="I116" i="5" s="1"/>
  <c r="I117" i="5" s="1"/>
  <c r="I118" i="5" s="1"/>
  <c r="I119" i="5" s="1"/>
  <c r="I99" i="5"/>
  <c r="I134" i="5" s="1"/>
  <c r="I135" i="5" s="1"/>
  <c r="I136" i="5" s="1"/>
  <c r="I137" i="5" s="1"/>
  <c r="I138" i="5" s="1"/>
  <c r="X71" i="12"/>
  <c r="AA70" i="12"/>
  <c r="X68" i="12"/>
  <c r="AA67" i="12"/>
  <c r="AA72" i="12"/>
  <c r="X65" i="12"/>
  <c r="X70" i="12"/>
  <c r="AA69" i="12"/>
  <c r="AA64" i="12"/>
  <c r="X67" i="12"/>
  <c r="AA66" i="12"/>
  <c r="X72" i="12"/>
  <c r="AA71" i="12"/>
  <c r="X66" i="12"/>
  <c r="AA65" i="12"/>
  <c r="Z54" i="12"/>
  <c r="AB54" i="12" s="1"/>
  <c r="Z44" i="12"/>
  <c r="X69" i="12"/>
  <c r="AA68" i="12"/>
  <c r="X64" i="12"/>
  <c r="Y54" i="12"/>
  <c r="AC54" i="12" s="1"/>
  <c r="Y44" i="12"/>
  <c r="G79" i="5"/>
  <c r="G87" i="5" s="1"/>
  <c r="G32" i="2" s="1"/>
  <c r="I104" i="5"/>
  <c r="I105" i="5"/>
  <c r="I120" i="5" s="1"/>
  <c r="I121" i="5" s="1"/>
  <c r="I122" i="5" s="1"/>
  <c r="I123" i="5" s="1"/>
  <c r="I103" i="5"/>
  <c r="G181" i="5"/>
  <c r="G182" i="5"/>
  <c r="G185" i="5" s="1"/>
  <c r="G193" i="5" s="1"/>
  <c r="H76" i="5"/>
  <c r="H75" i="5"/>
  <c r="I204" i="5"/>
  <c r="I219" i="5" s="1"/>
  <c r="I220" i="5" s="1"/>
  <c r="I221" i="5" s="1"/>
  <c r="I222" i="5" s="1"/>
  <c r="I227" i="5" s="1"/>
  <c r="I228" i="5" s="1"/>
  <c r="I230" i="5" s="1"/>
  <c r="I202" i="5"/>
  <c r="I237" i="5" s="1"/>
  <c r="I203" i="5"/>
  <c r="H182" i="5"/>
  <c r="H181" i="5"/>
  <c r="J102" i="5"/>
  <c r="J98" i="5"/>
  <c r="K97" i="5"/>
  <c r="AA43" i="12"/>
  <c r="X53" i="12"/>
  <c r="X52" i="12"/>
  <c r="X51" i="12"/>
  <c r="X50" i="12"/>
  <c r="X49" i="12"/>
  <c r="X48" i="12"/>
  <c r="X47" i="12"/>
  <c r="X46" i="12"/>
  <c r="X45" i="12"/>
  <c r="X44" i="12"/>
  <c r="X43" i="12"/>
  <c r="AA53" i="12"/>
  <c r="AA52" i="12"/>
  <c r="AA51" i="12"/>
  <c r="AA50" i="12"/>
  <c r="AA49" i="12"/>
  <c r="AA48" i="12"/>
  <c r="AA47" i="12"/>
  <c r="AA46" i="12"/>
  <c r="AA45" i="12"/>
  <c r="AA44" i="12"/>
  <c r="AB41" i="2"/>
  <c r="AA41" i="2"/>
  <c r="H77" i="5"/>
  <c r="H78" i="5" s="1"/>
  <c r="I208" i="5"/>
  <c r="I223" i="5" s="1"/>
  <c r="I224" i="5" s="1"/>
  <c r="I225" i="5" s="1"/>
  <c r="I226" i="5" s="1"/>
  <c r="I206" i="5"/>
  <c r="I207" i="5"/>
  <c r="J155" i="5"/>
  <c r="J151" i="5"/>
  <c r="K150" i="5"/>
  <c r="W114" i="12"/>
  <c r="E46" i="12" s="1"/>
  <c r="L31" i="2"/>
  <c r="J31" i="2"/>
  <c r="H31" i="2"/>
  <c r="J205" i="5"/>
  <c r="J201" i="5"/>
  <c r="K200" i="5"/>
  <c r="H128" i="5"/>
  <c r="H129" i="5"/>
  <c r="H183" i="5"/>
  <c r="H184" i="5" s="1"/>
  <c r="I153" i="5"/>
  <c r="I152" i="5"/>
  <c r="I187" i="5" s="1"/>
  <c r="I188" i="5" s="1"/>
  <c r="I189" i="5" s="1"/>
  <c r="I190" i="5" s="1"/>
  <c r="I191" i="5" s="1"/>
  <c r="I154" i="5"/>
  <c r="I169" i="5" s="1"/>
  <c r="I170" i="5" s="1"/>
  <c r="I171" i="5" s="1"/>
  <c r="I172" i="5" s="1"/>
  <c r="I177" i="5" s="1"/>
  <c r="I178" i="5" s="1"/>
  <c r="I180" i="5" s="1"/>
  <c r="AB43" i="12"/>
  <c r="G235" i="5"/>
  <c r="G243" i="5" s="1"/>
  <c r="K44" i="5"/>
  <c r="J49" i="5"/>
  <c r="J45" i="5"/>
  <c r="I157" i="5"/>
  <c r="I156" i="5"/>
  <c r="I158" i="5"/>
  <c r="I173" i="5" s="1"/>
  <c r="I174" i="5" s="1"/>
  <c r="I175" i="5" s="1"/>
  <c r="I176" i="5" s="1"/>
  <c r="H238" i="5"/>
  <c r="H239" i="5" s="1"/>
  <c r="H240" i="5" s="1"/>
  <c r="H241" i="5" s="1"/>
  <c r="AI41" i="2"/>
  <c r="AH41" i="2"/>
  <c r="H130" i="5"/>
  <c r="H131" i="5" s="1"/>
  <c r="I47" i="5"/>
  <c r="I48" i="5"/>
  <c r="I63" i="5" s="1"/>
  <c r="I64" i="5" s="1"/>
  <c r="I65" i="5" s="1"/>
  <c r="I66" i="5" s="1"/>
  <c r="I71" i="5" s="1"/>
  <c r="I72" i="5" s="1"/>
  <c r="I74" i="5" s="1"/>
  <c r="I46" i="5"/>
  <c r="I81" i="5" s="1"/>
  <c r="I82" i="5" s="1"/>
  <c r="I83" i="5" s="1"/>
  <c r="I84" i="5" s="1"/>
  <c r="I85" i="5" s="1"/>
  <c r="I182" i="5" l="1"/>
  <c r="I181" i="5"/>
  <c r="L200" i="5"/>
  <c r="K205" i="5"/>
  <c r="K201" i="5"/>
  <c r="J104" i="5"/>
  <c r="J105" i="5"/>
  <c r="J120" i="5" s="1"/>
  <c r="J121" i="5" s="1"/>
  <c r="J122" i="5" s="1"/>
  <c r="J123" i="5" s="1"/>
  <c r="J103" i="5"/>
  <c r="AD54" i="12"/>
  <c r="I78" i="5"/>
  <c r="U46" i="12"/>
  <c r="H235" i="5"/>
  <c r="H243" i="5" s="1"/>
  <c r="J52" i="5"/>
  <c r="J67" i="5" s="1"/>
  <c r="J68" i="5" s="1"/>
  <c r="J69" i="5" s="1"/>
  <c r="J70" i="5" s="1"/>
  <c r="J50" i="5"/>
  <c r="J51" i="5"/>
  <c r="I183" i="5"/>
  <c r="J207" i="5"/>
  <c r="J208" i="5"/>
  <c r="J223" i="5" s="1"/>
  <c r="J224" i="5" s="1"/>
  <c r="J225" i="5" s="1"/>
  <c r="J226" i="5" s="1"/>
  <c r="J206" i="5"/>
  <c r="K155" i="5"/>
  <c r="K151" i="5"/>
  <c r="L150" i="5"/>
  <c r="H185" i="5"/>
  <c r="H193" i="5" s="1"/>
  <c r="J203" i="5"/>
  <c r="J204" i="5"/>
  <c r="J219" i="5" s="1"/>
  <c r="J220" i="5" s="1"/>
  <c r="J221" i="5" s="1"/>
  <c r="J222" i="5" s="1"/>
  <c r="J202" i="5"/>
  <c r="J237" i="5" s="1"/>
  <c r="J238" i="5" s="1"/>
  <c r="J239" i="5" s="1"/>
  <c r="J240" i="5" s="1"/>
  <c r="J241" i="5" s="1"/>
  <c r="L44" i="5"/>
  <c r="K45" i="5"/>
  <c r="K49" i="5"/>
  <c r="J153" i="5"/>
  <c r="J154" i="5"/>
  <c r="J169" i="5" s="1"/>
  <c r="J170" i="5" s="1"/>
  <c r="J171" i="5" s="1"/>
  <c r="J172" i="5" s="1"/>
  <c r="J177" i="5" s="1"/>
  <c r="J178" i="5" s="1"/>
  <c r="J180" i="5" s="1"/>
  <c r="J152" i="5"/>
  <c r="J187" i="5" s="1"/>
  <c r="I233" i="5"/>
  <c r="I234" i="5" s="1"/>
  <c r="J48" i="5"/>
  <c r="J63" i="5" s="1"/>
  <c r="J64" i="5" s="1"/>
  <c r="J65" i="5" s="1"/>
  <c r="J66" i="5" s="1"/>
  <c r="J46" i="5"/>
  <c r="J81" i="5" s="1"/>
  <c r="J47" i="5"/>
  <c r="J77" i="5" s="1"/>
  <c r="J157" i="5"/>
  <c r="J158" i="5"/>
  <c r="J173" i="5" s="1"/>
  <c r="J174" i="5" s="1"/>
  <c r="J175" i="5" s="1"/>
  <c r="J176" i="5" s="1"/>
  <c r="J156" i="5"/>
  <c r="I238" i="5"/>
  <c r="I239" i="5" s="1"/>
  <c r="I240" i="5" s="1"/>
  <c r="I241" i="5" s="1"/>
  <c r="AB44" i="12"/>
  <c r="I184" i="5"/>
  <c r="W115" i="12"/>
  <c r="E47" i="12" s="1"/>
  <c r="U47" i="12" s="1"/>
  <c r="J32" i="2"/>
  <c r="L32" i="2"/>
  <c r="H32" i="2"/>
  <c r="I231" i="5"/>
  <c r="I232" i="5"/>
  <c r="I77" i="5"/>
  <c r="H132" i="5"/>
  <c r="H140" i="5" s="1"/>
  <c r="K102" i="5"/>
  <c r="K98" i="5"/>
  <c r="L97" i="5"/>
  <c r="I124" i="5"/>
  <c r="I125" i="5" s="1"/>
  <c r="I127" i="5" s="1"/>
  <c r="I76" i="5"/>
  <c r="I75" i="5"/>
  <c r="AC43" i="12"/>
  <c r="AD43" i="12" s="1"/>
  <c r="AF43" i="12" s="1"/>
  <c r="AH43" i="12" s="1"/>
  <c r="J100" i="5"/>
  <c r="J101" i="5"/>
  <c r="J116" i="5" s="1"/>
  <c r="J117" i="5" s="1"/>
  <c r="J118" i="5" s="1"/>
  <c r="J119" i="5" s="1"/>
  <c r="J99" i="5"/>
  <c r="J134" i="5" s="1"/>
  <c r="J135" i="5" s="1"/>
  <c r="J136" i="5" s="1"/>
  <c r="J137" i="5" s="1"/>
  <c r="J138" i="5" s="1"/>
  <c r="H79" i="5"/>
  <c r="H87" i="5" s="1"/>
  <c r="G33" i="2" s="1"/>
  <c r="AC44" i="12"/>
  <c r="I130" i="5"/>
  <c r="I131" i="5" s="1"/>
  <c r="AD44" i="12" l="1"/>
  <c r="AF44" i="12" s="1"/>
  <c r="AH44" i="12" s="1"/>
  <c r="W116" i="12"/>
  <c r="E48" i="12" s="1"/>
  <c r="U48" i="12" s="1"/>
  <c r="L33" i="2"/>
  <c r="J33" i="2"/>
  <c r="H33" i="2"/>
  <c r="I129" i="5"/>
  <c r="I132" i="5" s="1"/>
  <c r="I140" i="5" s="1"/>
  <c r="I128" i="5"/>
  <c r="I235" i="5"/>
  <c r="I243" i="5" s="1"/>
  <c r="M44" i="5"/>
  <c r="L49" i="5"/>
  <c r="L45" i="5"/>
  <c r="M150" i="5"/>
  <c r="L155" i="5"/>
  <c r="L151" i="5"/>
  <c r="K204" i="5"/>
  <c r="K219" i="5" s="1"/>
  <c r="K220" i="5" s="1"/>
  <c r="K221" i="5" s="1"/>
  <c r="K222" i="5" s="1"/>
  <c r="K227" i="5" s="1"/>
  <c r="K228" i="5" s="1"/>
  <c r="K230" i="5" s="1"/>
  <c r="K202" i="5"/>
  <c r="K237" i="5" s="1"/>
  <c r="K238" i="5" s="1"/>
  <c r="K239" i="5" s="1"/>
  <c r="K240" i="5" s="1"/>
  <c r="K241" i="5" s="1"/>
  <c r="K203" i="5"/>
  <c r="J124" i="5"/>
  <c r="J125" i="5" s="1"/>
  <c r="J127" i="5" s="1"/>
  <c r="M97" i="5"/>
  <c r="L98" i="5"/>
  <c r="L102" i="5"/>
  <c r="J227" i="5"/>
  <c r="J228" i="5" s="1"/>
  <c r="J230" i="5" s="1"/>
  <c r="K157" i="5"/>
  <c r="K158" i="5"/>
  <c r="K173" i="5" s="1"/>
  <c r="K174" i="5" s="1"/>
  <c r="K175" i="5" s="1"/>
  <c r="K176" i="5" s="1"/>
  <c r="K156" i="5"/>
  <c r="AF54" i="12"/>
  <c r="AH54" i="12" s="1"/>
  <c r="AE54" i="12"/>
  <c r="L205" i="5"/>
  <c r="L201" i="5"/>
  <c r="M200" i="5"/>
  <c r="K208" i="5"/>
  <c r="K223" i="5" s="1"/>
  <c r="K224" i="5" s="1"/>
  <c r="K225" i="5" s="1"/>
  <c r="K226" i="5" s="1"/>
  <c r="K206" i="5"/>
  <c r="K207" i="5"/>
  <c r="J130" i="5"/>
  <c r="J131" i="5" s="1"/>
  <c r="K100" i="5"/>
  <c r="K101" i="5"/>
  <c r="K116" i="5" s="1"/>
  <c r="K117" i="5" s="1"/>
  <c r="K118" i="5" s="1"/>
  <c r="K119" i="5" s="1"/>
  <c r="K99" i="5"/>
  <c r="K134" i="5" s="1"/>
  <c r="K135" i="5" s="1"/>
  <c r="K136" i="5" s="1"/>
  <c r="K137" i="5" s="1"/>
  <c r="K138" i="5" s="1"/>
  <c r="J188" i="5"/>
  <c r="J189" i="5" s="1"/>
  <c r="J190" i="5" s="1"/>
  <c r="J191" i="5" s="1"/>
  <c r="J233" i="5"/>
  <c r="J181" i="5"/>
  <c r="J182" i="5"/>
  <c r="I185" i="5"/>
  <c r="I193" i="5" s="1"/>
  <c r="J82" i="5"/>
  <c r="J83" i="5" s="1"/>
  <c r="J84" i="5" s="1"/>
  <c r="J85" i="5" s="1"/>
  <c r="J183" i="5"/>
  <c r="J184" i="5" s="1"/>
  <c r="J234" i="5"/>
  <c r="K153" i="5"/>
  <c r="K154" i="5"/>
  <c r="K169" i="5" s="1"/>
  <c r="K170" i="5" s="1"/>
  <c r="K171" i="5" s="1"/>
  <c r="K172" i="5" s="1"/>
  <c r="K177" i="5" s="1"/>
  <c r="K178" i="5" s="1"/>
  <c r="K180" i="5" s="1"/>
  <c r="K152" i="5"/>
  <c r="K187" i="5" s="1"/>
  <c r="K188" i="5" s="1"/>
  <c r="K189" i="5" s="1"/>
  <c r="K190" i="5" s="1"/>
  <c r="K191" i="5" s="1"/>
  <c r="Z73" i="12"/>
  <c r="Z65" i="12"/>
  <c r="AB65" i="12" s="1"/>
  <c r="X86" i="12"/>
  <c r="AA85" i="12"/>
  <c r="X81" i="12"/>
  <c r="X83" i="12"/>
  <c r="AA82" i="12"/>
  <c r="AA87" i="12"/>
  <c r="X85" i="12"/>
  <c r="AA84" i="12"/>
  <c r="X82" i="12"/>
  <c r="X84" i="12"/>
  <c r="AA83" i="12"/>
  <c r="X87" i="12"/>
  <c r="Z46" i="12"/>
  <c r="AB46" i="12" s="1"/>
  <c r="AA86" i="12"/>
  <c r="AA81" i="12"/>
  <c r="Z56" i="12"/>
  <c r="AB56" i="12" s="1"/>
  <c r="Y73" i="12"/>
  <c r="Y65" i="12"/>
  <c r="AC65" i="12" s="1"/>
  <c r="AD65" i="12" s="1"/>
  <c r="Y56" i="12"/>
  <c r="AC56" i="12" s="1"/>
  <c r="Y46" i="12"/>
  <c r="AC46" i="12" s="1"/>
  <c r="J71" i="5"/>
  <c r="J72" i="5" s="1"/>
  <c r="J74" i="5" s="1"/>
  <c r="K52" i="5"/>
  <c r="K67" i="5" s="1"/>
  <c r="K68" i="5" s="1"/>
  <c r="K69" i="5" s="1"/>
  <c r="K70" i="5" s="1"/>
  <c r="K50" i="5"/>
  <c r="K51" i="5"/>
  <c r="K104" i="5"/>
  <c r="K105" i="5"/>
  <c r="K120" i="5" s="1"/>
  <c r="K121" i="5" s="1"/>
  <c r="K122" i="5" s="1"/>
  <c r="K123" i="5" s="1"/>
  <c r="K103" i="5"/>
  <c r="I79" i="5"/>
  <c r="I87" i="5" s="1"/>
  <c r="G34" i="2" s="1"/>
  <c r="K48" i="5"/>
  <c r="K63" i="5" s="1"/>
  <c r="K64" i="5" s="1"/>
  <c r="K65" i="5" s="1"/>
  <c r="K66" i="5" s="1"/>
  <c r="K71" i="5" s="1"/>
  <c r="K72" i="5" s="1"/>
  <c r="K74" i="5" s="1"/>
  <c r="K46" i="5"/>
  <c r="K81" i="5" s="1"/>
  <c r="K47" i="5"/>
  <c r="J78" i="5"/>
  <c r="X76" i="12"/>
  <c r="AA75" i="12"/>
  <c r="AA80" i="12"/>
  <c r="X78" i="12"/>
  <c r="AA77" i="12"/>
  <c r="X73" i="12"/>
  <c r="X75" i="12"/>
  <c r="AA74" i="12"/>
  <c r="X80" i="12"/>
  <c r="AA79" i="12"/>
  <c r="Z64" i="12"/>
  <c r="AB64" i="12" s="1"/>
  <c r="X77" i="12"/>
  <c r="AA76" i="12"/>
  <c r="X79" i="12"/>
  <c r="AA78" i="12"/>
  <c r="AA73" i="12"/>
  <c r="Z45" i="12"/>
  <c r="AB45" i="12" s="1"/>
  <c r="X74" i="12"/>
  <c r="Z55" i="12"/>
  <c r="AB55" i="12" s="1"/>
  <c r="Y55" i="12"/>
  <c r="AC55" i="12" s="1"/>
  <c r="AD55" i="12" s="1"/>
  <c r="Y45" i="12"/>
  <c r="AC45" i="12" s="1"/>
  <c r="Y64" i="12"/>
  <c r="AC64" i="12" s="1"/>
  <c r="AD64" i="12" s="1"/>
  <c r="AE43" i="12"/>
  <c r="AE44" i="12" l="1"/>
  <c r="AC73" i="12"/>
  <c r="AF65" i="12"/>
  <c r="AH65" i="12" s="1"/>
  <c r="AE65" i="12"/>
  <c r="K184" i="5"/>
  <c r="K231" i="5"/>
  <c r="K232" i="5"/>
  <c r="L204" i="5"/>
  <c r="L219" i="5" s="1"/>
  <c r="L220" i="5" s="1"/>
  <c r="L221" i="5" s="1"/>
  <c r="L222" i="5" s="1"/>
  <c r="L202" i="5"/>
  <c r="L237" i="5" s="1"/>
  <c r="L238" i="5" s="1"/>
  <c r="L239" i="5" s="1"/>
  <c r="L240" i="5" s="1"/>
  <c r="L241" i="5" s="1"/>
  <c r="L203" i="5"/>
  <c r="L154" i="5"/>
  <c r="L169" i="5" s="1"/>
  <c r="L170" i="5" s="1"/>
  <c r="L171" i="5" s="1"/>
  <c r="L172" i="5" s="1"/>
  <c r="L152" i="5"/>
  <c r="L187" i="5" s="1"/>
  <c r="L153" i="5"/>
  <c r="L183" i="5" s="1"/>
  <c r="K77" i="5"/>
  <c r="K78" i="5" s="1"/>
  <c r="AF64" i="12"/>
  <c r="AH64" i="12" s="1"/>
  <c r="AE64" i="12"/>
  <c r="K82" i="5"/>
  <c r="K83" i="5" s="1"/>
  <c r="K84" i="5" s="1"/>
  <c r="K85" i="5" s="1"/>
  <c r="AB73" i="12"/>
  <c r="AD73" i="12" s="1"/>
  <c r="K124" i="5"/>
  <c r="K125" i="5" s="1"/>
  <c r="K127" i="5" s="1"/>
  <c r="L208" i="5"/>
  <c r="L223" i="5" s="1"/>
  <c r="L224" i="5" s="1"/>
  <c r="L225" i="5" s="1"/>
  <c r="L226" i="5" s="1"/>
  <c r="L206" i="5"/>
  <c r="L207" i="5"/>
  <c r="L105" i="5"/>
  <c r="L120" i="5" s="1"/>
  <c r="L121" i="5" s="1"/>
  <c r="L122" i="5" s="1"/>
  <c r="L123" i="5" s="1"/>
  <c r="L103" i="5"/>
  <c r="L104" i="5"/>
  <c r="L158" i="5"/>
  <c r="L173" i="5" s="1"/>
  <c r="L174" i="5" s="1"/>
  <c r="L175" i="5" s="1"/>
  <c r="L176" i="5" s="1"/>
  <c r="L156" i="5"/>
  <c r="L157" i="5"/>
  <c r="K76" i="5"/>
  <c r="K75" i="5"/>
  <c r="K130" i="5"/>
  <c r="K131" i="5" s="1"/>
  <c r="L101" i="5"/>
  <c r="L116" i="5" s="1"/>
  <c r="L117" i="5" s="1"/>
  <c r="L118" i="5" s="1"/>
  <c r="L119" i="5" s="1"/>
  <c r="L99" i="5"/>
  <c r="L134" i="5" s="1"/>
  <c r="L135" i="5" s="1"/>
  <c r="L136" i="5" s="1"/>
  <c r="L137" i="5" s="1"/>
  <c r="L138" i="5" s="1"/>
  <c r="L100" i="5"/>
  <c r="N150" i="5"/>
  <c r="M155" i="5"/>
  <c r="M151" i="5"/>
  <c r="N200" i="5"/>
  <c r="M205" i="5"/>
  <c r="M201" i="5"/>
  <c r="AF55" i="12"/>
  <c r="AH55" i="12" s="1"/>
  <c r="AE55" i="12"/>
  <c r="K182" i="5"/>
  <c r="K181" i="5"/>
  <c r="J185" i="5"/>
  <c r="J193" i="5" s="1"/>
  <c r="N97" i="5"/>
  <c r="M102" i="5"/>
  <c r="M98" i="5"/>
  <c r="L48" i="5"/>
  <c r="L63" i="5" s="1"/>
  <c r="L64" i="5" s="1"/>
  <c r="L65" i="5" s="1"/>
  <c r="L66" i="5" s="1"/>
  <c r="L46" i="5"/>
  <c r="L81" i="5" s="1"/>
  <c r="L47" i="5"/>
  <c r="L77" i="5" s="1"/>
  <c r="J76" i="5"/>
  <c r="J79" i="5" s="1"/>
  <c r="J87" i="5" s="1"/>
  <c r="G35" i="2" s="1"/>
  <c r="J75" i="5"/>
  <c r="AD46" i="12"/>
  <c r="K183" i="5"/>
  <c r="J129" i="5"/>
  <c r="J132" i="5" s="1"/>
  <c r="J140" i="5" s="1"/>
  <c r="J128" i="5"/>
  <c r="L52" i="5"/>
  <c r="L67" i="5" s="1"/>
  <c r="L68" i="5" s="1"/>
  <c r="L69" i="5" s="1"/>
  <c r="L70" i="5" s="1"/>
  <c r="L50" i="5"/>
  <c r="L51" i="5"/>
  <c r="J231" i="5"/>
  <c r="J232" i="5"/>
  <c r="J235" i="5" s="1"/>
  <c r="J243" i="5" s="1"/>
  <c r="AD45" i="12"/>
  <c r="W117" i="12"/>
  <c r="E49" i="12" s="1"/>
  <c r="J34" i="2"/>
  <c r="L34" i="2"/>
  <c r="H34" i="2"/>
  <c r="AD56" i="12"/>
  <c r="K233" i="5"/>
  <c r="K234" i="5" s="1"/>
  <c r="M49" i="5"/>
  <c r="M45" i="5"/>
  <c r="N44" i="5"/>
  <c r="AA93" i="12"/>
  <c r="AA88" i="12"/>
  <c r="X91" i="12"/>
  <c r="AA90" i="12"/>
  <c r="Z57" i="12"/>
  <c r="AB57" i="12" s="1"/>
  <c r="X93" i="12"/>
  <c r="AA92" i="12"/>
  <c r="X88" i="12"/>
  <c r="X90" i="12"/>
  <c r="AA89" i="12"/>
  <c r="Z74" i="12"/>
  <c r="AB74" i="12" s="1"/>
  <c r="Z66" i="12"/>
  <c r="AB66" i="12" s="1"/>
  <c r="X89" i="12"/>
  <c r="Z81" i="12"/>
  <c r="AB81" i="12" s="1"/>
  <c r="X92" i="12"/>
  <c r="Z47" i="12"/>
  <c r="AB47" i="12" s="1"/>
  <c r="AA91" i="12"/>
  <c r="Y47" i="12"/>
  <c r="AC47" i="12" s="1"/>
  <c r="Y81" i="12"/>
  <c r="AC81" i="12" s="1"/>
  <c r="Y57" i="12"/>
  <c r="AC57" i="12" s="1"/>
  <c r="AD57" i="12" s="1"/>
  <c r="Y74" i="12"/>
  <c r="AC74" i="12" s="1"/>
  <c r="Y66" i="12"/>
  <c r="AC66" i="12" s="1"/>
  <c r="AD74" i="12" l="1"/>
  <c r="AF74" i="12" s="1"/>
  <c r="AH74" i="12" s="1"/>
  <c r="AF73" i="12"/>
  <c r="AH73" i="12" s="1"/>
  <c r="AE73" i="12"/>
  <c r="M154" i="5"/>
  <c r="M169" i="5" s="1"/>
  <c r="M170" i="5" s="1"/>
  <c r="M171" i="5" s="1"/>
  <c r="M172" i="5" s="1"/>
  <c r="M152" i="5"/>
  <c r="M187" i="5" s="1"/>
  <c r="M153" i="5"/>
  <c r="M183" i="5" s="1"/>
  <c r="AF46" i="12"/>
  <c r="AH46" i="12" s="1"/>
  <c r="AE46" i="12"/>
  <c r="K235" i="5"/>
  <c r="K243" i="5" s="1"/>
  <c r="W118" i="12"/>
  <c r="E50" i="12" s="1"/>
  <c r="U50" i="12" s="1"/>
  <c r="L35" i="2"/>
  <c r="J35" i="2"/>
  <c r="H35" i="2"/>
  <c r="L188" i="5"/>
  <c r="L189" i="5" s="1"/>
  <c r="L190" i="5" s="1"/>
  <c r="L191" i="5" s="1"/>
  <c r="AD66" i="12"/>
  <c r="M52" i="5"/>
  <c r="M67" i="5" s="1"/>
  <c r="M68" i="5" s="1"/>
  <c r="M69" i="5" s="1"/>
  <c r="M70" i="5" s="1"/>
  <c r="M50" i="5"/>
  <c r="M51" i="5"/>
  <c r="U49" i="12"/>
  <c r="N155" i="5"/>
  <c r="N151" i="5"/>
  <c r="L177" i="5"/>
  <c r="L178" i="5" s="1"/>
  <c r="L180" i="5" s="1"/>
  <c r="M101" i="5"/>
  <c r="M116" i="5" s="1"/>
  <c r="M117" i="5" s="1"/>
  <c r="M118" i="5" s="1"/>
  <c r="M119" i="5" s="1"/>
  <c r="M124" i="5" s="1"/>
  <c r="M125" i="5" s="1"/>
  <c r="M127" i="5" s="1"/>
  <c r="M99" i="5"/>
  <c r="M134" i="5" s="1"/>
  <c r="M100" i="5"/>
  <c r="M48" i="5"/>
  <c r="M63" i="5" s="1"/>
  <c r="M64" i="5" s="1"/>
  <c r="M65" i="5" s="1"/>
  <c r="M66" i="5" s="1"/>
  <c r="M46" i="5"/>
  <c r="M81" i="5" s="1"/>
  <c r="M47" i="5"/>
  <c r="M77" i="5" s="1"/>
  <c r="AF45" i="12"/>
  <c r="AH45" i="12" s="1"/>
  <c r="AE45" i="12"/>
  <c r="M203" i="5"/>
  <c r="M202" i="5"/>
  <c r="M237" i="5" s="1"/>
  <c r="M238" i="5" s="1"/>
  <c r="M239" i="5" s="1"/>
  <c r="M240" i="5" s="1"/>
  <c r="M241" i="5" s="1"/>
  <c r="M204" i="5"/>
  <c r="M219" i="5" s="1"/>
  <c r="M220" i="5" s="1"/>
  <c r="M221" i="5" s="1"/>
  <c r="M222" i="5" s="1"/>
  <c r="M227" i="5" s="1"/>
  <c r="M228" i="5" s="1"/>
  <c r="M230" i="5" s="1"/>
  <c r="L130" i="5"/>
  <c r="L184" i="5"/>
  <c r="L233" i="5"/>
  <c r="L234" i="5" s="1"/>
  <c r="M207" i="5"/>
  <c r="M208" i="5"/>
  <c r="M223" i="5" s="1"/>
  <c r="M224" i="5" s="1"/>
  <c r="M225" i="5" s="1"/>
  <c r="M226" i="5" s="1"/>
  <c r="M206" i="5"/>
  <c r="K129" i="5"/>
  <c r="K132" i="5" s="1"/>
  <c r="K140" i="5" s="1"/>
  <c r="K128" i="5"/>
  <c r="N49" i="5"/>
  <c r="N45" i="5"/>
  <c r="N102" i="5"/>
  <c r="N98" i="5"/>
  <c r="M158" i="5"/>
  <c r="M173" i="5" s="1"/>
  <c r="M174" i="5" s="1"/>
  <c r="M175" i="5" s="1"/>
  <c r="M176" i="5" s="1"/>
  <c r="M156" i="5"/>
  <c r="M157" i="5"/>
  <c r="AF56" i="12"/>
  <c r="AH56" i="12" s="1"/>
  <c r="AE56" i="12"/>
  <c r="L82" i="5"/>
  <c r="L83" i="5" s="1"/>
  <c r="L84" i="5" s="1"/>
  <c r="L85" i="5" s="1"/>
  <c r="K185" i="5"/>
  <c r="K193" i="5" s="1"/>
  <c r="N205" i="5"/>
  <c r="N201" i="5"/>
  <c r="L124" i="5"/>
  <c r="L125" i="5" s="1"/>
  <c r="L127" i="5" s="1"/>
  <c r="L227" i="5"/>
  <c r="L228" i="5" s="1"/>
  <c r="L230" i="5" s="1"/>
  <c r="M105" i="5"/>
  <c r="M120" i="5" s="1"/>
  <c r="M121" i="5" s="1"/>
  <c r="M122" i="5" s="1"/>
  <c r="M123" i="5" s="1"/>
  <c r="M103" i="5"/>
  <c r="M104" i="5"/>
  <c r="K79" i="5"/>
  <c r="K87" i="5" s="1"/>
  <c r="G36" i="2" s="1"/>
  <c r="AF57" i="12"/>
  <c r="AH57" i="12" s="1"/>
  <c r="AE57" i="12"/>
  <c r="AD81" i="12"/>
  <c r="AD47" i="12"/>
  <c r="AE74" i="12"/>
  <c r="L78" i="5"/>
  <c r="L71" i="5"/>
  <c r="L72" i="5" s="1"/>
  <c r="L74" i="5" s="1"/>
  <c r="L131" i="5"/>
  <c r="V38" i="3"/>
  <c r="K38" i="3" s="1"/>
  <c r="M232" i="5" l="1"/>
  <c r="M231" i="5"/>
  <c r="M82" i="5"/>
  <c r="M83" i="5" s="1"/>
  <c r="M84" i="5" s="1"/>
  <c r="M85" i="5" s="1"/>
  <c r="N158" i="5"/>
  <c r="N173" i="5" s="1"/>
  <c r="N174" i="5" s="1"/>
  <c r="N175" i="5" s="1"/>
  <c r="N176" i="5" s="1"/>
  <c r="N156" i="5"/>
  <c r="N157" i="5"/>
  <c r="N184" i="5" s="1"/>
  <c r="W119" i="12"/>
  <c r="E51" i="12" s="1"/>
  <c r="L36" i="2"/>
  <c r="J36" i="2"/>
  <c r="H36" i="2"/>
  <c r="N101" i="5"/>
  <c r="N116" i="5" s="1"/>
  <c r="N117" i="5" s="1"/>
  <c r="N118" i="5" s="1"/>
  <c r="N119" i="5" s="1"/>
  <c r="N124" i="5" s="1"/>
  <c r="N125" i="5" s="1"/>
  <c r="N127" i="5" s="1"/>
  <c r="N99" i="5"/>
  <c r="N134" i="5" s="1"/>
  <c r="N135" i="5" s="1"/>
  <c r="N136" i="5" s="1"/>
  <c r="N137" i="5" s="1"/>
  <c r="N138" i="5" s="1"/>
  <c r="N100" i="5"/>
  <c r="M71" i="5"/>
  <c r="M72" i="5" s="1"/>
  <c r="M74" i="5" s="1"/>
  <c r="M188" i="5"/>
  <c r="M189" i="5" s="1"/>
  <c r="M190" i="5" s="1"/>
  <c r="M191" i="5" s="1"/>
  <c r="L76" i="5"/>
  <c r="L79" i="5" s="1"/>
  <c r="L87" i="5" s="1"/>
  <c r="G37" i="2" s="1"/>
  <c r="L75" i="5"/>
  <c r="AF47" i="12"/>
  <c r="AH47" i="12" s="1"/>
  <c r="AE47" i="12"/>
  <c r="L232" i="5"/>
  <c r="L235" i="5" s="1"/>
  <c r="L243" i="5" s="1"/>
  <c r="L231" i="5"/>
  <c r="N47" i="5"/>
  <c r="N48" i="5"/>
  <c r="N63" i="5" s="1"/>
  <c r="N64" i="5" s="1"/>
  <c r="N65" i="5" s="1"/>
  <c r="N66" i="5" s="1"/>
  <c r="N71" i="5" s="1"/>
  <c r="N72" i="5" s="1"/>
  <c r="N74" i="5" s="1"/>
  <c r="N46" i="5"/>
  <c r="N81" i="5" s="1"/>
  <c r="N82" i="5" s="1"/>
  <c r="N83" i="5" s="1"/>
  <c r="N84" i="5" s="1"/>
  <c r="N85" i="5" s="1"/>
  <c r="M233" i="5"/>
  <c r="M234" i="5" s="1"/>
  <c r="M130" i="5"/>
  <c r="AA98" i="12"/>
  <c r="X94" i="12"/>
  <c r="X96" i="12"/>
  <c r="AA95" i="12"/>
  <c r="Z88" i="12"/>
  <c r="AB88" i="12" s="1"/>
  <c r="Z75" i="12"/>
  <c r="AB75" i="12" s="1"/>
  <c r="Z67" i="12"/>
  <c r="AB67" i="12" s="1"/>
  <c r="X98" i="12"/>
  <c r="AA97" i="12"/>
  <c r="Z82" i="12"/>
  <c r="AB82" i="12" s="1"/>
  <c r="X95" i="12"/>
  <c r="AA94" i="12"/>
  <c r="X97" i="12"/>
  <c r="Z48" i="12"/>
  <c r="AB48" i="12" s="1"/>
  <c r="AA96" i="12"/>
  <c r="Z58" i="12"/>
  <c r="AB58" i="12" s="1"/>
  <c r="Y75" i="12"/>
  <c r="AC75" i="12" s="1"/>
  <c r="AD75" i="12" s="1"/>
  <c r="Y67" i="12"/>
  <c r="AC67" i="12" s="1"/>
  <c r="Y82" i="12"/>
  <c r="AC82" i="12" s="1"/>
  <c r="Y58" i="12"/>
  <c r="AC58" i="12" s="1"/>
  <c r="Y48" i="12"/>
  <c r="AC48" i="12" s="1"/>
  <c r="Y88" i="12"/>
  <c r="AC88" i="12" s="1"/>
  <c r="M177" i="5"/>
  <c r="M178" i="5" s="1"/>
  <c r="M180" i="5" s="1"/>
  <c r="AF66" i="12"/>
  <c r="AH66" i="12" s="1"/>
  <c r="AE66" i="12"/>
  <c r="AF81" i="12"/>
  <c r="AH81" i="12" s="1"/>
  <c r="AE81" i="12"/>
  <c r="L129" i="5"/>
  <c r="L132" i="5" s="1"/>
  <c r="L140" i="5" s="1"/>
  <c r="L128" i="5"/>
  <c r="M184" i="5"/>
  <c r="N51" i="5"/>
  <c r="N52" i="5"/>
  <c r="N67" i="5" s="1"/>
  <c r="N68" i="5" s="1"/>
  <c r="N69" i="5" s="1"/>
  <c r="N70" i="5" s="1"/>
  <c r="N50" i="5"/>
  <c r="M135" i="5"/>
  <c r="M136" i="5" s="1"/>
  <c r="M137" i="5" s="1"/>
  <c r="M138" i="5" s="1"/>
  <c r="M78" i="5"/>
  <c r="M131" i="5"/>
  <c r="N105" i="5"/>
  <c r="N120" i="5" s="1"/>
  <c r="N121" i="5" s="1"/>
  <c r="N122" i="5" s="1"/>
  <c r="N123" i="5" s="1"/>
  <c r="N103" i="5"/>
  <c r="N104" i="5"/>
  <c r="N154" i="5"/>
  <c r="N169" i="5" s="1"/>
  <c r="N170" i="5" s="1"/>
  <c r="N171" i="5" s="1"/>
  <c r="N172" i="5" s="1"/>
  <c r="N152" i="5"/>
  <c r="N187" i="5" s="1"/>
  <c r="N153" i="5"/>
  <c r="N183" i="5" s="1"/>
  <c r="N204" i="5"/>
  <c r="N219" i="5" s="1"/>
  <c r="N220" i="5" s="1"/>
  <c r="N221" i="5" s="1"/>
  <c r="N222" i="5" s="1"/>
  <c r="N202" i="5"/>
  <c r="N237" i="5" s="1"/>
  <c r="N203" i="5"/>
  <c r="N233" i="5" s="1"/>
  <c r="M128" i="5"/>
  <c r="M129" i="5"/>
  <c r="X99" i="12"/>
  <c r="Z83" i="12"/>
  <c r="AB83" i="12" s="1"/>
  <c r="X101" i="12"/>
  <c r="AA100" i="12"/>
  <c r="AA102" i="12"/>
  <c r="Z59" i="12"/>
  <c r="AB59" i="12" s="1"/>
  <c r="X100" i="12"/>
  <c r="AA99" i="12"/>
  <c r="Z89" i="12"/>
  <c r="AB89" i="12" s="1"/>
  <c r="Z68" i="12"/>
  <c r="AB68" i="12" s="1"/>
  <c r="X102" i="12"/>
  <c r="Z76" i="12"/>
  <c r="AB76" i="12" s="1"/>
  <c r="Z49" i="12"/>
  <c r="AB49" i="12" s="1"/>
  <c r="AA101" i="12"/>
  <c r="Z94" i="12"/>
  <c r="AB94" i="12" s="1"/>
  <c r="Y49" i="12"/>
  <c r="AC49" i="12" s="1"/>
  <c r="Y89" i="12"/>
  <c r="AC89" i="12" s="1"/>
  <c r="AD89" i="12" s="1"/>
  <c r="Y68" i="12"/>
  <c r="AC68" i="12" s="1"/>
  <c r="AD68" i="12" s="1"/>
  <c r="Y59" i="12"/>
  <c r="AC59" i="12" s="1"/>
  <c r="Y83" i="12"/>
  <c r="AC83" i="12" s="1"/>
  <c r="Y94" i="12"/>
  <c r="AC94" i="12" s="1"/>
  <c r="Y76" i="12"/>
  <c r="AC76" i="12" s="1"/>
  <c r="N208" i="5"/>
  <c r="N223" i="5" s="1"/>
  <c r="N224" i="5" s="1"/>
  <c r="N225" i="5" s="1"/>
  <c r="N226" i="5" s="1"/>
  <c r="N206" i="5"/>
  <c r="N207" i="5"/>
  <c r="L181" i="5"/>
  <c r="L182" i="5"/>
  <c r="L185" i="5" s="1"/>
  <c r="L193" i="5" s="1"/>
  <c r="AD88" i="12" l="1"/>
  <c r="AE88" i="12" s="1"/>
  <c r="AD94" i="12"/>
  <c r="AF94" i="12" s="1"/>
  <c r="AH94" i="12" s="1"/>
  <c r="AD83" i="12"/>
  <c r="AD82" i="12"/>
  <c r="AD59" i="12"/>
  <c r="N238" i="5"/>
  <c r="N239" i="5" s="1"/>
  <c r="N240" i="5" s="1"/>
  <c r="N241" i="5" s="1"/>
  <c r="M181" i="5"/>
  <c r="M182" i="5"/>
  <c r="M185" i="5" s="1"/>
  <c r="M193" i="5" s="1"/>
  <c r="AG42" i="2" s="1"/>
  <c r="N130" i="5"/>
  <c r="N131" i="5" s="1"/>
  <c r="AF75" i="12"/>
  <c r="AH75" i="12" s="1"/>
  <c r="AE75" i="12"/>
  <c r="AF59" i="12"/>
  <c r="AH59" i="12" s="1"/>
  <c r="AE59" i="12"/>
  <c r="AF68" i="12"/>
  <c r="AH68" i="12" s="1"/>
  <c r="AE68" i="12"/>
  <c r="N128" i="5"/>
  <c r="N129" i="5"/>
  <c r="N234" i="5"/>
  <c r="N75" i="5"/>
  <c r="N76" i="5"/>
  <c r="W120" i="12"/>
  <c r="E52" i="12" s="1"/>
  <c r="U52" i="12" s="1"/>
  <c r="J37" i="2"/>
  <c r="L37" i="2"/>
  <c r="H37" i="2"/>
  <c r="AF83" i="12"/>
  <c r="AH83" i="12" s="1"/>
  <c r="AE83" i="12"/>
  <c r="AD49" i="12"/>
  <c r="M132" i="5"/>
  <c r="M140" i="5" s="1"/>
  <c r="Z42" i="2" s="1"/>
  <c r="N188" i="5"/>
  <c r="N189" i="5" s="1"/>
  <c r="N190" i="5" s="1"/>
  <c r="N191" i="5" s="1"/>
  <c r="AD58" i="12"/>
  <c r="N77" i="5"/>
  <c r="N78" i="5" s="1"/>
  <c r="M235" i="5"/>
  <c r="M243" i="5" s="1"/>
  <c r="AN42" i="2" s="1"/>
  <c r="N227" i="5"/>
  <c r="N228" i="5" s="1"/>
  <c r="N230" i="5" s="1"/>
  <c r="AF89" i="12"/>
  <c r="AH89" i="12" s="1"/>
  <c r="AE89" i="12"/>
  <c r="AD48" i="12"/>
  <c r="N177" i="5"/>
  <c r="N178" i="5" s="1"/>
  <c r="N180" i="5" s="1"/>
  <c r="AF82" i="12"/>
  <c r="AH82" i="12" s="1"/>
  <c r="AE82" i="12"/>
  <c r="M75" i="5"/>
  <c r="M76" i="5"/>
  <c r="M79" i="5" s="1"/>
  <c r="M87" i="5" s="1"/>
  <c r="G38" i="2" s="1"/>
  <c r="AD76" i="12"/>
  <c r="AD67" i="12"/>
  <c r="AE94" i="12"/>
  <c r="U51" i="12"/>
  <c r="AF88" i="12" l="1"/>
  <c r="AH88" i="12" s="1"/>
  <c r="AP42" i="2"/>
  <c r="AO42" i="2"/>
  <c r="AA107" i="12"/>
  <c r="X107" i="12"/>
  <c r="AA106" i="12"/>
  <c r="X106" i="12"/>
  <c r="Z78" i="12"/>
  <c r="AB78" i="12" s="1"/>
  <c r="Z70" i="12"/>
  <c r="AB70" i="12" s="1"/>
  <c r="Z100" i="12"/>
  <c r="AB100" i="12" s="1"/>
  <c r="Z85" i="12"/>
  <c r="AB85" i="12" s="1"/>
  <c r="Z103" i="12"/>
  <c r="Z96" i="12"/>
  <c r="AB96" i="12" s="1"/>
  <c r="Z91" i="12"/>
  <c r="AB91" i="12" s="1"/>
  <c r="Z51" i="12"/>
  <c r="AB51" i="12" s="1"/>
  <c r="Z61" i="12"/>
  <c r="AB61" i="12" s="1"/>
  <c r="Y103" i="12"/>
  <c r="Y61" i="12"/>
  <c r="AC61" i="12" s="1"/>
  <c r="Y96" i="12"/>
  <c r="AC96" i="12" s="1"/>
  <c r="Y91" i="12"/>
  <c r="AC91" i="12" s="1"/>
  <c r="Y100" i="12"/>
  <c r="AC100" i="12" s="1"/>
  <c r="AD100" i="12" s="1"/>
  <c r="Y78" i="12"/>
  <c r="AC78" i="12" s="1"/>
  <c r="Y70" i="12"/>
  <c r="AC70" i="12" s="1"/>
  <c r="AD70" i="12" s="1"/>
  <c r="Y85" i="12"/>
  <c r="AC85" i="12" s="1"/>
  <c r="Y51" i="12"/>
  <c r="AC51" i="12" s="1"/>
  <c r="AI42" i="2"/>
  <c r="AH42" i="2"/>
  <c r="N232" i="5"/>
  <c r="N235" i="5" s="1"/>
  <c r="N243" i="5" s="1"/>
  <c r="N231" i="5"/>
  <c r="N182" i="5"/>
  <c r="N185" i="5" s="1"/>
  <c r="N193" i="5" s="1"/>
  <c r="N181" i="5"/>
  <c r="AF58" i="12"/>
  <c r="AH58" i="12" s="1"/>
  <c r="AE58" i="12"/>
  <c r="W121" i="12"/>
  <c r="E53" i="12" s="1"/>
  <c r="U53" i="12" s="1"/>
  <c r="L38" i="2"/>
  <c r="J38" i="2"/>
  <c r="H38" i="2"/>
  <c r="AF76" i="12"/>
  <c r="AH76" i="12" s="1"/>
  <c r="AE76" i="12"/>
  <c r="N132" i="5"/>
  <c r="N140" i="5" s="1"/>
  <c r="N79" i="5"/>
  <c r="N87" i="5" s="1"/>
  <c r="AB42" i="2"/>
  <c r="AA42" i="2"/>
  <c r="X103" i="12"/>
  <c r="X105" i="12"/>
  <c r="AA104" i="12"/>
  <c r="Z60" i="12"/>
  <c r="AB60" i="12" s="1"/>
  <c r="Z95" i="12"/>
  <c r="AB95" i="12" s="1"/>
  <c r="Z90" i="12"/>
  <c r="AB90" i="12" s="1"/>
  <c r="AA105" i="12"/>
  <c r="Z77" i="12"/>
  <c r="AB77" i="12" s="1"/>
  <c r="Z69" i="12"/>
  <c r="AB69" i="12" s="1"/>
  <c r="Z84" i="12"/>
  <c r="AB84" i="12" s="1"/>
  <c r="X104" i="12"/>
  <c r="Z50" i="12"/>
  <c r="AB50" i="12" s="1"/>
  <c r="Z99" i="12"/>
  <c r="AB99" i="12" s="1"/>
  <c r="AA103" i="12"/>
  <c r="Y90" i="12"/>
  <c r="AC90" i="12" s="1"/>
  <c r="Y77" i="12"/>
  <c r="AC77" i="12" s="1"/>
  <c r="AD77" i="12" s="1"/>
  <c r="Y69" i="12"/>
  <c r="AC69" i="12" s="1"/>
  <c r="AD69" i="12" s="1"/>
  <c r="Y99" i="12"/>
  <c r="AC99" i="12" s="1"/>
  <c r="Y50" i="12"/>
  <c r="AC50" i="12" s="1"/>
  <c r="Y84" i="12"/>
  <c r="AC84" i="12" s="1"/>
  <c r="Y60" i="12"/>
  <c r="AC60" i="12" s="1"/>
  <c r="AD60" i="12" s="1"/>
  <c r="Y95" i="12"/>
  <c r="AC95" i="12" s="1"/>
  <c r="AF48" i="12"/>
  <c r="AH48" i="12" s="1"/>
  <c r="AE48" i="12"/>
  <c r="AF67" i="12"/>
  <c r="AH67" i="12" s="1"/>
  <c r="AE67" i="12"/>
  <c r="AF49" i="12"/>
  <c r="AH49" i="12" s="1"/>
  <c r="AE49" i="12"/>
  <c r="AD78" i="12" l="1"/>
  <c r="AD50" i="12"/>
  <c r="AD99" i="12"/>
  <c r="AE99" i="12" s="1"/>
  <c r="AD90" i="12"/>
  <c r="AD61" i="12"/>
  <c r="AF61" i="12" s="1"/>
  <c r="AH61" i="12" s="1"/>
  <c r="AD95" i="12"/>
  <c r="AE95" i="12" s="1"/>
  <c r="AD51" i="12"/>
  <c r="AF51" i="12" s="1"/>
  <c r="AH51" i="12" s="1"/>
  <c r="X108" i="12"/>
  <c r="Z104" i="12"/>
  <c r="AB104" i="12" s="1"/>
  <c r="AA108" i="12"/>
  <c r="Z62" i="12"/>
  <c r="AB62" i="12" s="1"/>
  <c r="Z97" i="12"/>
  <c r="AB97" i="12" s="1"/>
  <c r="Z92" i="12"/>
  <c r="AB92" i="12" s="1"/>
  <c r="Z79" i="12"/>
  <c r="AB79" i="12" s="1"/>
  <c r="Z101" i="12"/>
  <c r="AB101" i="12" s="1"/>
  <c r="Z86" i="12"/>
  <c r="AB86" i="12" s="1"/>
  <c r="Z71" i="12"/>
  <c r="AB71" i="12" s="1"/>
  <c r="Z52" i="12"/>
  <c r="AB52" i="12" s="1"/>
  <c r="Z106" i="12"/>
  <c r="AB106" i="12" s="1"/>
  <c r="Y106" i="12"/>
  <c r="AC106" i="12" s="1"/>
  <c r="AD106" i="12" s="1"/>
  <c r="AF106" i="12" s="1"/>
  <c r="AH106" i="12" s="1"/>
  <c r="Y71" i="12"/>
  <c r="AC71" i="12" s="1"/>
  <c r="AD71" i="12" s="1"/>
  <c r="Y104" i="12"/>
  <c r="AC104" i="12" s="1"/>
  <c r="AD104" i="12" s="1"/>
  <c r="AF104" i="12" s="1"/>
  <c r="AH104" i="12" s="1"/>
  <c r="Y52" i="12"/>
  <c r="AC52" i="12" s="1"/>
  <c r="AD52" i="12" s="1"/>
  <c r="Y101" i="12"/>
  <c r="AC101" i="12" s="1"/>
  <c r="Y97" i="12"/>
  <c r="AC97" i="12" s="1"/>
  <c r="Y79" i="12"/>
  <c r="AC79" i="12" s="1"/>
  <c r="Y86" i="12"/>
  <c r="AC86" i="12" s="1"/>
  <c r="Y62" i="12"/>
  <c r="AC62" i="12" s="1"/>
  <c r="AD62" i="12" s="1"/>
  <c r="Y92" i="12"/>
  <c r="AC92" i="12" s="1"/>
  <c r="AD92" i="12" s="1"/>
  <c r="Z43" i="2"/>
  <c r="O140" i="5"/>
  <c r="AF100" i="12"/>
  <c r="AH100" i="12" s="1"/>
  <c r="AE100" i="12"/>
  <c r="AD91" i="12"/>
  <c r="AB103" i="12"/>
  <c r="AD96" i="12"/>
  <c r="G39" i="2"/>
  <c r="O87" i="5"/>
  <c r="AF90" i="12"/>
  <c r="AH90" i="12" s="1"/>
  <c r="AE90" i="12"/>
  <c r="AE61" i="12"/>
  <c r="AF77" i="12"/>
  <c r="AH77" i="12" s="1"/>
  <c r="AE77" i="12"/>
  <c r="AF60" i="12"/>
  <c r="AH60" i="12" s="1"/>
  <c r="AE60" i="12"/>
  <c r="AG43" i="2"/>
  <c r="O193" i="5"/>
  <c r="AC103" i="12"/>
  <c r="AF69" i="12"/>
  <c r="AH69" i="12" s="1"/>
  <c r="AE69" i="12"/>
  <c r="AD84" i="12"/>
  <c r="AD85" i="12"/>
  <c r="AF99" i="12"/>
  <c r="AH99" i="12" s="1"/>
  <c r="AF78" i="12"/>
  <c r="AH78" i="12" s="1"/>
  <c r="AE78" i="12"/>
  <c r="AF95" i="12"/>
  <c r="AH95" i="12" s="1"/>
  <c r="AF50" i="12"/>
  <c r="AH50" i="12" s="1"/>
  <c r="AE50" i="12"/>
  <c r="AN43" i="2"/>
  <c r="O243" i="5"/>
  <c r="AF70" i="12"/>
  <c r="AH70" i="12" s="1"/>
  <c r="AE70" i="12"/>
  <c r="AE106" i="12"/>
  <c r="AD86" i="12" l="1"/>
  <c r="AE51" i="12"/>
  <c r="AF52" i="12"/>
  <c r="AH52" i="12" s="1"/>
  <c r="AE52" i="12"/>
  <c r="AB43" i="2"/>
  <c r="AA43" i="2"/>
  <c r="O29" i="2" s="1"/>
  <c r="Z44" i="2"/>
  <c r="AE104" i="12"/>
  <c r="AD103" i="12"/>
  <c r="AF92" i="12"/>
  <c r="AH92" i="12" s="1"/>
  <c r="AE92" i="12"/>
  <c r="AF71" i="12"/>
  <c r="AH71" i="12" s="1"/>
  <c r="AE71" i="12"/>
  <c r="AP43" i="2"/>
  <c r="AO43" i="2"/>
  <c r="S29" i="2" s="1"/>
  <c r="AN44" i="2"/>
  <c r="AF91" i="12"/>
  <c r="AH91" i="12" s="1"/>
  <c r="AE91" i="12"/>
  <c r="AF62" i="12"/>
  <c r="AH62" i="12" s="1"/>
  <c r="AE62" i="12"/>
  <c r="W122" i="12"/>
  <c r="E54" i="12" s="1"/>
  <c r="L39" i="2"/>
  <c r="J39" i="2"/>
  <c r="H39" i="2"/>
  <c r="S33" i="2" s="1"/>
  <c r="G40" i="2"/>
  <c r="AF86" i="12"/>
  <c r="AH86" i="12" s="1"/>
  <c r="AE86" i="12"/>
  <c r="AF85" i="12"/>
  <c r="AH85" i="12" s="1"/>
  <c r="AE85" i="12"/>
  <c r="AF84" i="12"/>
  <c r="AH84" i="12" s="1"/>
  <c r="AE84" i="12"/>
  <c r="AF96" i="12"/>
  <c r="AH96" i="12" s="1"/>
  <c r="AE96" i="12"/>
  <c r="AD79" i="12"/>
  <c r="AI43" i="2"/>
  <c r="AH43" i="2"/>
  <c r="O33" i="2" s="1"/>
  <c r="AG44" i="2"/>
  <c r="AD97" i="12"/>
  <c r="AD101" i="12"/>
  <c r="AF97" i="12" l="1"/>
  <c r="AH97" i="12" s="1"/>
  <c r="AE97" i="12"/>
  <c r="AF101" i="12"/>
  <c r="AH101" i="12" s="1"/>
  <c r="AE101" i="12"/>
  <c r="P33" i="2"/>
  <c r="N33" i="2"/>
  <c r="N29" i="2"/>
  <c r="T33" i="2"/>
  <c r="D31" i="3" s="1"/>
  <c r="R33" i="2"/>
  <c r="S33" i="4" s="1"/>
  <c r="U33" i="4" s="1"/>
  <c r="V33" i="4"/>
  <c r="D31" i="4"/>
  <c r="F31" i="4" s="1"/>
  <c r="H31" i="4" s="1"/>
  <c r="V31" i="3"/>
  <c r="AF79" i="12"/>
  <c r="AH79" i="12" s="1"/>
  <c r="AE79" i="12"/>
  <c r="U54" i="12"/>
  <c r="U24" i="12"/>
  <c r="V24" i="12" s="1"/>
  <c r="K23" i="12" s="1"/>
  <c r="AF103" i="12"/>
  <c r="AH103" i="12" s="1"/>
  <c r="AE103" i="12"/>
  <c r="R29" i="2"/>
  <c r="T29" i="2"/>
  <c r="Z105" i="12" l="1"/>
  <c r="AB105" i="12" s="1"/>
  <c r="Z107" i="12"/>
  <c r="AB107" i="12" s="1"/>
  <c r="Z98" i="12"/>
  <c r="AB98" i="12" s="1"/>
  <c r="Z93" i="12"/>
  <c r="AB93" i="12" s="1"/>
  <c r="Z80" i="12"/>
  <c r="AB80" i="12" s="1"/>
  <c r="Z72" i="12"/>
  <c r="AB72" i="12" s="1"/>
  <c r="Z102" i="12"/>
  <c r="AB102" i="12" s="1"/>
  <c r="Z87" i="12"/>
  <c r="AB87" i="12" s="1"/>
  <c r="Z108" i="12"/>
  <c r="AB108" i="12" s="1"/>
  <c r="Z63" i="12"/>
  <c r="AB63" i="12" s="1"/>
  <c r="Z53" i="12"/>
  <c r="AB53" i="12" s="1"/>
  <c r="Y72" i="12"/>
  <c r="AC72" i="12" s="1"/>
  <c r="Y105" i="12"/>
  <c r="AC105" i="12" s="1"/>
  <c r="AD105" i="12" s="1"/>
  <c r="Y102" i="12"/>
  <c r="AC102" i="12" s="1"/>
  <c r="AD102" i="12" s="1"/>
  <c r="Y107" i="12"/>
  <c r="AC107" i="12" s="1"/>
  <c r="AD107" i="12" s="1"/>
  <c r="Y87" i="12"/>
  <c r="AC87" i="12" s="1"/>
  <c r="Y108" i="12"/>
  <c r="AC108" i="12" s="1"/>
  <c r="AD108" i="12" s="1"/>
  <c r="Y53" i="12"/>
  <c r="AC53" i="12" s="1"/>
  <c r="Y63" i="12"/>
  <c r="AC63" i="12" s="1"/>
  <c r="AD63" i="12" s="1"/>
  <c r="Y93" i="12"/>
  <c r="AC93" i="12" s="1"/>
  <c r="AD93" i="12" s="1"/>
  <c r="Y80" i="12"/>
  <c r="AC80" i="12" s="1"/>
  <c r="AD80" i="12" s="1"/>
  <c r="Y98" i="12"/>
  <c r="AC98" i="12" s="1"/>
  <c r="AD98" i="12" s="1"/>
  <c r="K27" i="12"/>
  <c r="AG103" i="12" s="1"/>
  <c r="W33" i="4"/>
  <c r="AD87" i="12" l="1"/>
  <c r="AG79" i="12"/>
  <c r="AF105" i="12"/>
  <c r="AH105" i="12" s="1"/>
  <c r="AI103" i="12" s="1"/>
  <c r="AE105" i="12"/>
  <c r="AG105" i="12" s="1"/>
  <c r="AF93" i="12"/>
  <c r="AH93" i="12" s="1"/>
  <c r="AI88" i="12" s="1"/>
  <c r="AE93" i="12"/>
  <c r="AG93" i="12" s="1"/>
  <c r="AF63" i="12"/>
  <c r="AH63" i="12" s="1"/>
  <c r="AI54" i="12" s="1"/>
  <c r="AE63" i="12"/>
  <c r="AG63" i="12" s="1"/>
  <c r="AG97" i="12"/>
  <c r="AD72" i="12"/>
  <c r="AF108" i="12"/>
  <c r="AH108" i="12" s="1"/>
  <c r="AI108" i="12" s="1"/>
  <c r="AK108" i="12" s="1"/>
  <c r="AE108" i="12"/>
  <c r="AG108" i="12" s="1"/>
  <c r="AJ108" i="12" s="1"/>
  <c r="AF102" i="12"/>
  <c r="AH102" i="12" s="1"/>
  <c r="AI99" i="12" s="1"/>
  <c r="AE102" i="12"/>
  <c r="AG102" i="12" s="1"/>
  <c r="AD53" i="12"/>
  <c r="AG101" i="12"/>
  <c r="AF87" i="12"/>
  <c r="AH87" i="12" s="1"/>
  <c r="AI81" i="12" s="1"/>
  <c r="AE87" i="12"/>
  <c r="AG87" i="12" s="1"/>
  <c r="AF98" i="12"/>
  <c r="AH98" i="12" s="1"/>
  <c r="AI94" i="12" s="1"/>
  <c r="AE98" i="12"/>
  <c r="AG98" i="12" s="1"/>
  <c r="AF80" i="12"/>
  <c r="AH80" i="12" s="1"/>
  <c r="AI73" i="12" s="1"/>
  <c r="AE80" i="12"/>
  <c r="AG80" i="12" s="1"/>
  <c r="M27" i="12"/>
  <c r="K54" i="12"/>
  <c r="K53" i="12"/>
  <c r="K52" i="12"/>
  <c r="K51" i="12"/>
  <c r="K50" i="12"/>
  <c r="K49" i="12"/>
  <c r="K48" i="12"/>
  <c r="K47" i="12"/>
  <c r="K46" i="12"/>
  <c r="K45" i="12"/>
  <c r="K44" i="12"/>
  <c r="K43" i="12"/>
  <c r="AG54" i="12"/>
  <c r="AG44" i="12"/>
  <c r="AG43" i="12"/>
  <c r="AG65" i="12"/>
  <c r="AG55" i="12"/>
  <c r="AG64" i="12"/>
  <c r="AG74" i="12"/>
  <c r="AG46" i="12"/>
  <c r="AG45" i="12"/>
  <c r="AG73" i="12"/>
  <c r="AG57" i="12"/>
  <c r="AG56" i="12"/>
  <c r="AG47" i="12"/>
  <c r="AG66" i="12"/>
  <c r="AG81" i="12"/>
  <c r="AG94" i="12"/>
  <c r="AG89" i="12"/>
  <c r="AG68" i="12"/>
  <c r="AG59" i="12"/>
  <c r="AG88" i="12"/>
  <c r="AG82" i="12"/>
  <c r="AG75" i="12"/>
  <c r="AG83" i="12"/>
  <c r="AG48" i="12"/>
  <c r="AG67" i="12"/>
  <c r="AG49" i="12"/>
  <c r="AG76" i="12"/>
  <c r="AG58" i="12"/>
  <c r="AG78" i="12"/>
  <c r="AG99" i="12"/>
  <c r="AG50" i="12"/>
  <c r="AG100" i="12"/>
  <c r="AG95" i="12"/>
  <c r="AG90" i="12"/>
  <c r="AG51" i="12"/>
  <c r="AG70" i="12"/>
  <c r="AG77" i="12"/>
  <c r="AG60" i="12"/>
  <c r="AG106" i="12"/>
  <c r="AG69" i="12"/>
  <c r="AG61" i="12"/>
  <c r="AG92" i="12"/>
  <c r="AG71" i="12"/>
  <c r="AG52" i="12"/>
  <c r="AG62" i="12"/>
  <c r="AG96" i="12"/>
  <c r="AG86" i="12"/>
  <c r="AG84" i="12"/>
  <c r="AG85" i="12"/>
  <c r="AG91" i="12"/>
  <c r="AG104" i="12"/>
  <c r="AJ103" i="12" s="1"/>
  <c r="AF107" i="12"/>
  <c r="AH107" i="12" s="1"/>
  <c r="AI106" i="12" s="1"/>
  <c r="AE107" i="12"/>
  <c r="AG107" i="12" s="1"/>
  <c r="AJ99" i="12" l="1"/>
  <c r="AJ88" i="12"/>
  <c r="AK88" i="12" s="1"/>
  <c r="AF53" i="12"/>
  <c r="AH53" i="12" s="1"/>
  <c r="AI43" i="12" s="1"/>
  <c r="AE53" i="12"/>
  <c r="AG53" i="12" s="1"/>
  <c r="AJ43" i="12" s="1"/>
  <c r="AJ73" i="12"/>
  <c r="AK73" i="12"/>
  <c r="AK99" i="12"/>
  <c r="AL99" i="12" s="1"/>
  <c r="AJ54" i="12"/>
  <c r="AL108" i="12"/>
  <c r="AJ94" i="12"/>
  <c r="AK103" i="12"/>
  <c r="AL103" i="12" s="1"/>
  <c r="AK94" i="12"/>
  <c r="AJ106" i="12"/>
  <c r="AK106" i="12" s="1"/>
  <c r="AJ81" i="12"/>
  <c r="AF72" i="12"/>
  <c r="AH72" i="12" s="1"/>
  <c r="AI64" i="12" s="1"/>
  <c r="AE72" i="12"/>
  <c r="AG72" i="12" s="1"/>
  <c r="AJ64" i="12" s="1"/>
  <c r="AN103" i="12" l="1"/>
  <c r="AQ103" i="12" s="1"/>
  <c r="AM103" i="12"/>
  <c r="AN99" i="12"/>
  <c r="AQ99" i="12" s="1"/>
  <c r="AM99" i="12"/>
  <c r="AK43" i="12"/>
  <c r="AL43" i="12" s="1"/>
  <c r="AL106" i="12"/>
  <c r="AL88" i="12"/>
  <c r="AK64" i="12"/>
  <c r="AL64" i="12" s="1"/>
  <c r="AL73" i="12"/>
  <c r="AK81" i="12"/>
  <c r="AL81" i="12" s="1"/>
  <c r="AN108" i="12"/>
  <c r="AQ108" i="12" s="1"/>
  <c r="AM108" i="12"/>
  <c r="AK54" i="12"/>
  <c r="AL54" i="12" s="1"/>
  <c r="AL94" i="12"/>
  <c r="AM64" i="12" l="1"/>
  <c r="AN64" i="12"/>
  <c r="AQ64" i="12" s="1"/>
  <c r="AN43" i="12"/>
  <c r="AQ43" i="12" s="1"/>
  <c r="AM43" i="12"/>
  <c r="AN54" i="12"/>
  <c r="AQ54" i="12" s="1"/>
  <c r="AM54" i="12"/>
  <c r="AN81" i="12"/>
  <c r="AQ81" i="12" s="1"/>
  <c r="AM81" i="12"/>
  <c r="AM106" i="12"/>
  <c r="AN106" i="12"/>
  <c r="AQ106" i="12" s="1"/>
  <c r="AN73" i="12"/>
  <c r="AQ73" i="12" s="1"/>
  <c r="AM73" i="12"/>
  <c r="AO108" i="12"/>
  <c r="AP108" i="12"/>
  <c r="AO99" i="12"/>
  <c r="AP99" i="12"/>
  <c r="AN94" i="12"/>
  <c r="AQ94" i="12" s="1"/>
  <c r="AM94" i="12"/>
  <c r="AO103" i="12"/>
  <c r="AP103" i="12"/>
  <c r="AN88" i="12"/>
  <c r="AQ88" i="12" s="1"/>
  <c r="AM88" i="12"/>
  <c r="AO81" i="12" l="1"/>
  <c r="AP81" i="12"/>
  <c r="AP54" i="12"/>
  <c r="AO54" i="12"/>
  <c r="AP73" i="12"/>
  <c r="AO73" i="12"/>
  <c r="AP43" i="12"/>
  <c r="AO43" i="12"/>
  <c r="AP88" i="12"/>
  <c r="AO88" i="12"/>
  <c r="AO94" i="12"/>
  <c r="AP94" i="12"/>
  <c r="AP106" i="12"/>
  <c r="AO106" i="12"/>
  <c r="AP64" i="12"/>
  <c r="AO64" i="12"/>
  <c r="X26" i="12" l="1"/>
  <c r="X25" i="12"/>
  <c r="X27" i="12"/>
  <c r="X24" i="12"/>
  <c r="K31" i="12" l="1"/>
  <c r="K30" i="12"/>
  <c r="K40" i="12"/>
  <c r="K39" i="12"/>
  <c r="K33" i="12"/>
  <c r="K34" i="12"/>
  <c r="K37" i="12"/>
  <c r="K36" i="12"/>
  <c r="M39" i="12" l="1"/>
  <c r="P23" i="12" s="1"/>
  <c r="R54" i="12"/>
  <c r="R53" i="12"/>
  <c r="R52" i="12"/>
  <c r="R51" i="12"/>
  <c r="R50" i="12"/>
  <c r="R49" i="12"/>
  <c r="R48" i="12"/>
  <c r="R47" i="12"/>
  <c r="R46" i="12"/>
  <c r="R45" i="12"/>
  <c r="R44" i="12"/>
  <c r="R43" i="12"/>
  <c r="M36" i="12"/>
  <c r="P24" i="12" s="1"/>
  <c r="Q54" i="12"/>
  <c r="Q53" i="12"/>
  <c r="Q52" i="12"/>
  <c r="Q51" i="12"/>
  <c r="Q50" i="12"/>
  <c r="Q49" i="12"/>
  <c r="Q48" i="12"/>
  <c r="Q47" i="12"/>
  <c r="Q46" i="12"/>
  <c r="Q45" i="12"/>
  <c r="Q44" i="12"/>
  <c r="Q43" i="12"/>
  <c r="N54" i="12"/>
  <c r="N53" i="12"/>
  <c r="N52" i="12"/>
  <c r="N51" i="12"/>
  <c r="N50" i="12"/>
  <c r="N49" i="12"/>
  <c r="N48" i="12"/>
  <c r="N47" i="12"/>
  <c r="N46" i="12"/>
  <c r="N45" i="12"/>
  <c r="N44" i="12"/>
  <c r="N43" i="12"/>
  <c r="M30" i="12"/>
  <c r="P43" i="12"/>
  <c r="M33" i="12"/>
  <c r="P25" i="12" s="1"/>
  <c r="P54" i="12"/>
  <c r="P53" i="12"/>
  <c r="P52" i="12"/>
  <c r="P51" i="12"/>
  <c r="P50" i="12"/>
  <c r="P49" i="12"/>
  <c r="P48" i="12"/>
  <c r="P47" i="12"/>
  <c r="P46" i="12"/>
  <c r="P45" i="12"/>
  <c r="P44" i="12"/>
</calcChain>
</file>

<file path=xl/sharedStrings.xml><?xml version="1.0" encoding="utf-8"?>
<sst xmlns="http://schemas.openxmlformats.org/spreadsheetml/2006/main" count="780" uniqueCount="443">
  <si>
    <t>Latitud</t>
  </si>
  <si>
    <t>Mes</t>
  </si>
  <si>
    <t>Enero</t>
  </si>
  <si>
    <t>Febrero</t>
  </si>
  <si>
    <t>Marzo</t>
  </si>
  <si>
    <t>Abril</t>
  </si>
  <si>
    <t>Mayo</t>
  </si>
  <si>
    <t>Junio</t>
  </si>
  <si>
    <t>Julio</t>
  </si>
  <si>
    <t>Agosto</t>
  </si>
  <si>
    <t>Noviembre</t>
  </si>
  <si>
    <t>Diciembre</t>
  </si>
  <si>
    <t>Consumo 
Corregido
(Ah/día)</t>
  </si>
  <si>
    <t>Madrid</t>
  </si>
  <si>
    <t>N</t>
  </si>
  <si>
    <t>Sept.</t>
  </si>
  <si>
    <t>Oct.</t>
  </si>
  <si>
    <t>Nov.</t>
  </si>
  <si>
    <t>Dic.</t>
  </si>
  <si>
    <t>RAD</t>
  </si>
  <si>
    <t>SLT</t>
  </si>
  <si>
    <t>CLT</t>
  </si>
  <si>
    <t>TLT</t>
  </si>
  <si>
    <t>SLTINCL</t>
  </si>
  <si>
    <t>CLTINCL</t>
  </si>
  <si>
    <t>TLTINCL</t>
  </si>
  <si>
    <t>IOEXT</t>
  </si>
  <si>
    <t>PI.24IOEXT</t>
  </si>
  <si>
    <t>LATITUD             [ º ]</t>
  </si>
  <si>
    <t>Incl</t>
  </si>
  <si>
    <t>Incli Rad</t>
  </si>
  <si>
    <t>Sen Incli</t>
  </si>
  <si>
    <t>Cos Incli</t>
  </si>
  <si>
    <t>Lat</t>
  </si>
  <si>
    <t>Lat. Rad</t>
  </si>
  <si>
    <t>LT Incli Rad</t>
  </si>
  <si>
    <t>Cos 37.5</t>
  </si>
  <si>
    <t>Rad 23.45</t>
  </si>
  <si>
    <t>Rad 360</t>
  </si>
  <si>
    <t>D.Rad</t>
  </si>
  <si>
    <t>R</t>
  </si>
  <si>
    <t>SDE</t>
  </si>
  <si>
    <t>CDE</t>
  </si>
  <si>
    <t>W1</t>
  </si>
  <si>
    <t>W2</t>
  </si>
  <si>
    <t>W2.RAD</t>
  </si>
  <si>
    <t>H0</t>
  </si>
  <si>
    <t>K1</t>
  </si>
  <si>
    <t>K(I)</t>
  </si>
  <si>
    <t>H1</t>
  </si>
  <si>
    <t>H</t>
  </si>
  <si>
    <t>W1.Rad</t>
  </si>
  <si>
    <t>Radiación</t>
  </si>
  <si>
    <t>OM</t>
  </si>
  <si>
    <t>(V)</t>
  </si>
  <si>
    <t>(W)</t>
  </si>
  <si>
    <t>Intensidad
máxima AC
corregida</t>
  </si>
  <si>
    <t>Tensión máxima
AC (V)</t>
  </si>
  <si>
    <t>Regulador a consumo DC</t>
  </si>
  <si>
    <t>HORAS SOL PICO TOTALES:</t>
  </si>
  <si>
    <t>Vmp (V)</t>
  </si>
  <si>
    <t>Imp (A)</t>
  </si>
  <si>
    <t>Voc (V)</t>
  </si>
  <si>
    <t>Isc (A)</t>
  </si>
  <si>
    <t>Intensidad de 
diseño (A)</t>
  </si>
  <si>
    <t>NO</t>
  </si>
  <si>
    <t>SI</t>
  </si>
  <si>
    <t>MODIFICADA</t>
  </si>
  <si>
    <t>SENOIDAL PURA</t>
  </si>
  <si>
    <t>Temperaturas medias mensuales/anuales ºC 1.971-2000</t>
  </si>
  <si>
    <t>Máxima</t>
  </si>
  <si>
    <t>Coste</t>
  </si>
  <si>
    <t>Densidad de potencia</t>
  </si>
  <si>
    <t>f</t>
  </si>
  <si>
    <t>e</t>
  </si>
  <si>
    <t>m1</t>
  </si>
  <si>
    <t>n1</t>
  </si>
  <si>
    <t>n</t>
  </si>
  <si>
    <t>m</t>
  </si>
  <si>
    <t>n-m</t>
  </si>
  <si>
    <t>n1-m1</t>
  </si>
  <si>
    <t>Ángulo inclinación</t>
  </si>
  <si>
    <t>Enero-Febrero</t>
  </si>
  <si>
    <t>P(kWp)</t>
  </si>
  <si>
    <t>A(m2)</t>
  </si>
  <si>
    <t>Enero-Marzo</t>
  </si>
  <si>
    <t>Enero-Abril</t>
  </si>
  <si>
    <t>Enero-Mayo</t>
  </si>
  <si>
    <t>Enero-Junio</t>
  </si>
  <si>
    <t>Enero-Julio</t>
  </si>
  <si>
    <t>Enero-Agosto</t>
  </si>
  <si>
    <t>Enero-Septiembre</t>
  </si>
  <si>
    <t>Enero-Octubre</t>
  </si>
  <si>
    <t>Enero-Noviembre</t>
  </si>
  <si>
    <t>Enero-Diciembre</t>
  </si>
  <si>
    <t>Condicionantes Área</t>
  </si>
  <si>
    <t>Condicionantes Potencia</t>
  </si>
  <si>
    <t>Febrero-Marzo</t>
  </si>
  <si>
    <t>Min Área</t>
  </si>
  <si>
    <t>Máxima P</t>
  </si>
  <si>
    <t>Comprobación P</t>
  </si>
  <si>
    <t>Febrero-Abril</t>
  </si>
  <si>
    <t>Febrero-Mayo</t>
  </si>
  <si>
    <t>Febrero-Junio</t>
  </si>
  <si>
    <t>Febrero-Julio</t>
  </si>
  <si>
    <t>Febrero-Agosto</t>
  </si>
  <si>
    <t>Febrero-Septiembre</t>
  </si>
  <si>
    <t>Febrero-Octubre</t>
  </si>
  <si>
    <t>Febrero-Noviembre</t>
  </si>
  <si>
    <t>Febrero-Diciembre</t>
  </si>
  <si>
    <t>Marzo-Abril</t>
  </si>
  <si>
    <t>Marzo-Mayo</t>
  </si>
  <si>
    <t>Marzo-Junio</t>
  </si>
  <si>
    <t>Marzo-Julio</t>
  </si>
  <si>
    <t>Marzo-Agosto</t>
  </si>
  <si>
    <t>Marzo-Septiembre</t>
  </si>
  <si>
    <t>Marzo-Octubre</t>
  </si>
  <si>
    <t>Marzo-Noviembre</t>
  </si>
  <si>
    <t>Marzo-Diciembre</t>
  </si>
  <si>
    <t>Abril-Mayo</t>
  </si>
  <si>
    <t>Abril-Junio</t>
  </si>
  <si>
    <t>Abril-Julio</t>
  </si>
  <si>
    <t>Abril-Agosto</t>
  </si>
  <si>
    <t>Abril-Septiembre</t>
  </si>
  <si>
    <t>Abril-Octubre</t>
  </si>
  <si>
    <t>Abril-Noviembre</t>
  </si>
  <si>
    <t>Abril-Diciembre</t>
  </si>
  <si>
    <t>Mayo-Junio</t>
  </si>
  <si>
    <t>Mayo-Julio</t>
  </si>
  <si>
    <t>Mayo-Agosto</t>
  </si>
  <si>
    <t>Mayo-Septiembre</t>
  </si>
  <si>
    <t>Mayo-Octubre</t>
  </si>
  <si>
    <t>Mayo-Noviembre</t>
  </si>
  <si>
    <t>Mayo-Diciembre</t>
  </si>
  <si>
    <t>Junio-Julio</t>
  </si>
  <si>
    <t>Junio-Agosto</t>
  </si>
  <si>
    <t>Junio-Septiembre</t>
  </si>
  <si>
    <t>Junio-Octubre</t>
  </si>
  <si>
    <t>Junio-Noviembre</t>
  </si>
  <si>
    <t>Junio-Diciembre</t>
  </si>
  <si>
    <t>Julio-Agosto</t>
  </si>
  <si>
    <t>Julio-Septiembre</t>
  </si>
  <si>
    <t>Julio-Octubre</t>
  </si>
  <si>
    <t>Julio-Noviembre</t>
  </si>
  <si>
    <t>Julio-Diciembre</t>
  </si>
  <si>
    <t>Agosto-Septiembre</t>
  </si>
  <si>
    <t>Agosto-Octubre</t>
  </si>
  <si>
    <t>Agosto-Noviembre</t>
  </si>
  <si>
    <t>Agosto-Diciembre</t>
  </si>
  <si>
    <t>Septiembre-Octubre</t>
  </si>
  <si>
    <t>Septiembre-Noviembre</t>
  </si>
  <si>
    <t>Septiembre-Diciembre</t>
  </si>
  <si>
    <t>Octubre-Noviembre</t>
  </si>
  <si>
    <t>Octubre-Diciembre</t>
  </si>
  <si>
    <t>Noviembre-Diciembre</t>
  </si>
  <si>
    <t>FV (Kwp)</t>
  </si>
  <si>
    <t>(m2)</t>
  </si>
  <si>
    <t>Horas sol 
pico día</t>
  </si>
  <si>
    <t/>
  </si>
  <si>
    <t>CUADRADA</t>
  </si>
  <si>
    <t>Intensidad 
máxima AC (A)</t>
  </si>
  <si>
    <t>SOLARTEC RC</t>
  </si>
  <si>
    <t>RC48-N</t>
  </si>
  <si>
    <t>Victron</t>
  </si>
  <si>
    <t>48/5000/70</t>
  </si>
  <si>
    <t>January</t>
  </si>
  <si>
    <t>February</t>
  </si>
  <si>
    <t>March</t>
  </si>
  <si>
    <t>November</t>
  </si>
  <si>
    <t>December</t>
  </si>
  <si>
    <t>POLAND</t>
  </si>
  <si>
    <t>SPAIN</t>
  </si>
  <si>
    <t>UCRANIA</t>
  </si>
  <si>
    <t xml:space="preserve">HORIZONTAL   RADIATION                  kWh/m2/month                                                                                                                                                                                                     </t>
  </si>
  <si>
    <t>track MPP</t>
  </si>
  <si>
    <t>WARNINGS</t>
  </si>
  <si>
    <t>HOUSING</t>
  </si>
  <si>
    <t>VIPSKILLS</t>
  </si>
  <si>
    <t>Interruptor</t>
  </si>
  <si>
    <t>Imax  (A)</t>
  </si>
  <si>
    <t>Y</t>
  </si>
  <si>
    <t>PROJECT TITLE</t>
  </si>
  <si>
    <t>OBJECT</t>
  </si>
  <si>
    <t>NAME AND SURNAME</t>
  </si>
  <si>
    <t>DATE</t>
  </si>
  <si>
    <t>This tool was prepared by Project "Virtual and Intensive Course Developing Practical Skills of Future Engineers" (VIPSKILLS) Nr.2016-1-PL01-KA203-026152.</t>
  </si>
  <si>
    <t>AUTHORS</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</si>
  <si>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</si>
  <si>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</si>
  <si>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</si>
  <si>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</si>
  <si>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</si>
  <si>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</si>
  <si>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</si>
  <si>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</si>
  <si>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2018</t>
  </si>
  <si>
    <t>David bullejos Martín, University of Cordoba (UCO),</t>
  </si>
  <si>
    <t>Energy analisys and renewable integration in housing</t>
  </si>
  <si>
    <t>L1</t>
  </si>
  <si>
    <t>L2</t>
  </si>
  <si>
    <t>L3</t>
  </si>
  <si>
    <t>L4</t>
  </si>
  <si>
    <t>Proyecto</t>
  </si>
  <si>
    <t>Ingeniero</t>
  </si>
  <si>
    <t>Localización</t>
  </si>
  <si>
    <t>Fecha</t>
  </si>
  <si>
    <t>CÁLCULO DEL CONSUMO PROMEDIO ANUAL</t>
  </si>
  <si>
    <t>DESCRIPCIÓN DE LA CARGA</t>
  </si>
  <si>
    <t>Nº de cargas</t>
  </si>
  <si>
    <t>Corriente (A)</t>
  </si>
  <si>
    <t>Tensión (V)</t>
  </si>
  <si>
    <t>AC Potencia
(W)</t>
  </si>
  <si>
    <t>Ciclo diario
(horas al dia)</t>
  </si>
  <si>
    <t>Ciclo semanal
(horas por semana)</t>
  </si>
  <si>
    <t>Eficiencia de la conversión</t>
  </si>
  <si>
    <t>Tensión nominal (V)</t>
  </si>
  <si>
    <t>Consumo Amp-Hora
(Ah/dia)</t>
  </si>
  <si>
    <t xml:space="preserve">CARGAS AC </t>
  </si>
  <si>
    <t>Cocina</t>
  </si>
  <si>
    <t>Aire acondicionado (A+++) (*)</t>
  </si>
  <si>
    <t>Calefacción (A+++) (*)</t>
  </si>
  <si>
    <t>Agua Caliente Sanitaria</t>
  </si>
  <si>
    <t>Dispositivos electrónicos (4x45W)</t>
  </si>
  <si>
    <t xml:space="preserve">CARGAS DC </t>
  </si>
  <si>
    <t>Dormitorios (LED 8x5W) DC</t>
  </si>
  <si>
    <t>Salón (LED 4x5W) DC</t>
  </si>
  <si>
    <t>Baño (LED 2x 24W) DC</t>
  </si>
  <si>
    <t>Cocina (LED 4x24W) DC</t>
  </si>
  <si>
    <t>Exteriores (LED 10x5) DC</t>
  </si>
  <si>
    <t>Potencia Total 
(W)</t>
  </si>
  <si>
    <t>consumo Total (Ah/dia)</t>
  </si>
  <si>
    <t>Potencia Total DC
(W)</t>
  </si>
  <si>
    <t>Potencia Total AC
(W)</t>
  </si>
  <si>
    <t>Tensión Nominal (V)</t>
  </si>
  <si>
    <t>Corriente máxima (A)</t>
  </si>
  <si>
    <t>Consumo Total
Ah/dia</t>
  </si>
  <si>
    <t>Factor de eficiencia del cableado</t>
  </si>
  <si>
    <t>Factor de eficiencia de las baterías</t>
  </si>
  <si>
    <t>Consumo total revisado
(Ah/dia)</t>
  </si>
  <si>
    <t>INTENSIDAD Y ÁNGULO DE INCLINACIÓN</t>
  </si>
  <si>
    <t>Consumo total revisado</t>
  </si>
  <si>
    <t>Horas solares pico al dia</t>
  </si>
  <si>
    <t>Corriente de diseño
(A)</t>
  </si>
  <si>
    <t>enero</t>
  </si>
  <si>
    <t>Septiembre</t>
  </si>
  <si>
    <t>Octubre</t>
  </si>
  <si>
    <t>Ángulo de inclinación</t>
  </si>
  <si>
    <t>HORAS DE RADIACIÓN SOLAR PICO:</t>
  </si>
  <si>
    <t>Ángulo óptimo anual</t>
  </si>
  <si>
    <t>Horas de sol pico
(hrs/día)</t>
  </si>
  <si>
    <t>ángulo óptimo verano</t>
  </si>
  <si>
    <t>Horas de sol pico
(hrs/day)</t>
  </si>
  <si>
    <t>Ángulo Óptimo invierno</t>
  </si>
  <si>
    <t>ángulo seleccionado</t>
  </si>
  <si>
    <t>Horas de sol pico (hrs/dia)</t>
  </si>
  <si>
    <t>Corriente de diseño (A)</t>
  </si>
  <si>
    <t>ANÁLISIS DE BATERÍAS</t>
  </si>
  <si>
    <t>INFORMACIÓN DE BATERÍAS</t>
  </si>
  <si>
    <t>FABRICANTE</t>
  </si>
  <si>
    <t>MODELO</t>
  </si>
  <si>
    <t>TIPO</t>
  </si>
  <si>
    <t>Tensión nominal</t>
  </si>
  <si>
    <t>Tensión flotante 25º C (V)</t>
  </si>
  <si>
    <t>Tensión equalizada 25ºC (V)</t>
  </si>
  <si>
    <t>Consumo total
Ah revisado (Ah/dia)</t>
  </si>
  <si>
    <t>Nº de dias de autonomía</t>
  </si>
  <si>
    <t>Max Profundidad de descarga</t>
  </si>
  <si>
    <t>Correción por temperatura</t>
  </si>
  <si>
    <t>Capacidad necesaria en baterías (Ah)</t>
  </si>
  <si>
    <t>Capacidad de baterías seleccionada (Ah)</t>
  </si>
  <si>
    <t>Baterías en paralelo recomendadas</t>
  </si>
  <si>
    <t>Baterías en paralelo seleccionadas</t>
  </si>
  <si>
    <t>Tensión nominal en baterías (V)</t>
  </si>
  <si>
    <t>Baterías en serie</t>
  </si>
  <si>
    <t>Baterías en paralelo</t>
  </si>
  <si>
    <t>Nº de baterías</t>
  </si>
  <si>
    <t>Capacida de las baterías
C100(Ah)</t>
  </si>
  <si>
    <t>Capacidad del sistema de baterías
(Ah)</t>
  </si>
  <si>
    <t>Factor de descarga estacional</t>
  </si>
  <si>
    <t>Capacidad util (Ah)</t>
  </si>
  <si>
    <t>Profundidad de descarga real al día (%)</t>
  </si>
  <si>
    <t>promedio de profundidad de descarga al final de la descarga (%)</t>
  </si>
  <si>
    <t>Periodo de recarga en invierno 100% de la carga de la batería (dias)</t>
  </si>
  <si>
    <t>Periodo de recuperación en verano 100% carga de baterías (dias)</t>
  </si>
  <si>
    <t>GENERADOR FOTOVOLTAICO</t>
  </si>
  <si>
    <t xml:space="preserve">      INFORMACIÓN DEL MÓDULO PV</t>
  </si>
  <si>
    <t>Fabricante y Modelo</t>
  </si>
  <si>
    <t>Tipo</t>
  </si>
  <si>
    <t>Potencia (Wp)</t>
  </si>
  <si>
    <t>Corriente revisada (A)</t>
  </si>
  <si>
    <t>Factor de corrección</t>
  </si>
  <si>
    <t>Corriente de diseño</t>
  </si>
  <si>
    <t>Corriente nominal de módulo (A)</t>
  </si>
  <si>
    <t>Modulos en paralelo recomendados</t>
  </si>
  <si>
    <t>Módulos en serie recomendados</t>
  </si>
  <si>
    <t>Módulos paralelo seleccionados</t>
  </si>
  <si>
    <t>Módulos en serie seeccionados</t>
  </si>
  <si>
    <t>Potencia pico por módulo (Wp)</t>
  </si>
  <si>
    <t>Tensión  nominal (V)</t>
  </si>
  <si>
    <t>Tensión nominal de cada módulo (V)</t>
  </si>
  <si>
    <t>Módulos en paralelo</t>
  </si>
  <si>
    <t>Módulos en serie</t>
  </si>
  <si>
    <t>Módulos totales</t>
  </si>
  <si>
    <t>Tensi´n nominal (V)</t>
  </si>
  <si>
    <t>Máxima tensión equilibrada</t>
  </si>
  <si>
    <t>Máxima tensión fluctuante (V)</t>
  </si>
  <si>
    <t>Temperatura ambiente máxima ºC</t>
  </si>
  <si>
    <t>Temperatura de las celdas ºC</t>
  </si>
  <si>
    <t>Circuito abierto a Tc (V)</t>
  </si>
  <si>
    <t>AVISOS</t>
  </si>
  <si>
    <t>REGULADOR DE CARGA</t>
  </si>
  <si>
    <t xml:space="preserve"> INFORMACIÓN DEL REGULADOR DE CARGA</t>
  </si>
  <si>
    <t>ModelO</t>
  </si>
  <si>
    <t>SWICH POINTS AJUSTADOS</t>
  </si>
  <si>
    <t>Compensación de temperatura</t>
  </si>
  <si>
    <t>Límite de tensión de sobrecarga</t>
  </si>
  <si>
    <t>Límite de tensión de descarga</t>
  </si>
  <si>
    <t>recuperación de tensión de descarga</t>
  </si>
  <si>
    <t>Protección de corriente inversa</t>
  </si>
  <si>
    <t>Necesidades del sistema</t>
  </si>
  <si>
    <t>Corriente de carga DC (A)</t>
  </si>
  <si>
    <t>Isc generador
(A)</t>
  </si>
  <si>
    <t>Regulador Corriente mínima (A)</t>
  </si>
  <si>
    <t>Regulador coriente nominal (A)</t>
  </si>
  <si>
    <t>Reguladores en paralelo</t>
  </si>
  <si>
    <t>ANÁLISIS DE POTENCIA</t>
  </si>
  <si>
    <t>REQUERIMIENTOS</t>
  </si>
  <si>
    <t>ESPECIFICACIONES DEL INVERSOR</t>
  </si>
  <si>
    <t>Forma de onda</t>
  </si>
  <si>
    <t>Tensión DC (V)</t>
  </si>
  <si>
    <t>Tensión AC (V)</t>
  </si>
  <si>
    <t>Potencia máxima (W)</t>
  </si>
  <si>
    <t>Coeficiente de simultaneidad (%)</t>
  </si>
  <si>
    <t>Potencia nominal mínima (W)</t>
  </si>
  <si>
    <t>Tiempo de operación en sobrecarga (min.)</t>
  </si>
  <si>
    <t>Eficiencia en carga nominal (%)</t>
  </si>
  <si>
    <t>Fabricante</t>
  </si>
  <si>
    <t>Modelo</t>
  </si>
  <si>
    <t>Tensión (DC)</t>
  </si>
  <si>
    <t>Tensión (AC)</t>
  </si>
  <si>
    <t>Potencia nominal (W)</t>
  </si>
  <si>
    <t>Nº de inversores seleccionados</t>
  </si>
  <si>
    <t>Potencia Total AC (W)</t>
  </si>
  <si>
    <t>Potencia pico max (W)</t>
  </si>
  <si>
    <t>Nº inversores MIN. necesarios</t>
  </si>
  <si>
    <t>Inversor-Carga</t>
  </si>
  <si>
    <t>Tensión de entrada (V)</t>
  </si>
  <si>
    <t>Max corriente de carga (A)</t>
  </si>
  <si>
    <t>Tiempo de carga de baterías (h)</t>
  </si>
  <si>
    <t>Compensación de tensión</t>
  </si>
  <si>
    <t>Sensor de Tª</t>
  </si>
  <si>
    <t>Sistema de conmutación automática</t>
  </si>
  <si>
    <t>INVERSOR</t>
  </si>
  <si>
    <t>GENERADOR DIESEL</t>
  </si>
  <si>
    <t>Características:</t>
  </si>
  <si>
    <t>Tipo de combustible</t>
  </si>
  <si>
    <t>Autonomía</t>
  </si>
  <si>
    <t>sistema de arranque</t>
  </si>
  <si>
    <t xml:space="preserve">Convertidos DC/DC </t>
  </si>
  <si>
    <t>Tensión de entrada DC (V)</t>
  </si>
  <si>
    <t>Tesión de salida DC (V)</t>
  </si>
  <si>
    <t>Potencia a la salida (W)</t>
  </si>
  <si>
    <t>temperatura de operación (ºC)</t>
  </si>
  <si>
    <t>Especificaciones del convertidor DC/DC</t>
  </si>
  <si>
    <t>Tensión de salida (V)</t>
  </si>
  <si>
    <t>Corriente de salida (A)</t>
  </si>
  <si>
    <t>Temperatura de operación (ºC)</t>
  </si>
  <si>
    <t>Tensión variable de salida</t>
  </si>
  <si>
    <t>COMPONENTES DE PROTECCIÓN</t>
  </si>
  <si>
    <t>Generador-Regulador</t>
  </si>
  <si>
    <t>Generador PV Isc (A)</t>
  </si>
  <si>
    <t>Corriente max Generador (A)</t>
  </si>
  <si>
    <t>Voc Generador (V)</t>
  </si>
  <si>
    <t>Fusible</t>
  </si>
  <si>
    <t>Interruptor comercial</t>
  </si>
  <si>
    <t>Fusible Comercial</t>
  </si>
  <si>
    <t>Corriente Max (A)</t>
  </si>
  <si>
    <t>Tensión Max (V)</t>
  </si>
  <si>
    <t>Regulador- Consumo DC</t>
  </si>
  <si>
    <t>Corriente pico DC (A)</t>
  </si>
  <si>
    <t>Corriente Max DC (A)</t>
  </si>
  <si>
    <t>Tensión Max DC (V)</t>
  </si>
  <si>
    <t>Baterías - Inversor</t>
  </si>
  <si>
    <t>Potencia nominal del inversor (W)</t>
  </si>
  <si>
    <t>Eficiencia</t>
  </si>
  <si>
    <t>Corriente Nominal (A)</t>
  </si>
  <si>
    <t>Inversor- consumo AC</t>
  </si>
  <si>
    <t>Interruptor térmico</t>
  </si>
  <si>
    <t>Interruptor diferencial</t>
  </si>
  <si>
    <t>Térmico comercial</t>
  </si>
  <si>
    <t>Diferencial comercial</t>
  </si>
  <si>
    <t>Otros interruptores</t>
  </si>
  <si>
    <t>Corriente MAX (A)</t>
  </si>
  <si>
    <t>Corriente Max revisada (A)</t>
  </si>
  <si>
    <t>CABLEADO DEL SISTEMA</t>
  </si>
  <si>
    <t>Conductores</t>
  </si>
  <si>
    <t>Tierra de los equipos</t>
  </si>
  <si>
    <t>Tierra del sistema</t>
  </si>
  <si>
    <t>Sección</t>
  </si>
  <si>
    <t>Tipo de tierra</t>
  </si>
  <si>
    <t>Longitud (m)</t>
  </si>
  <si>
    <t>Caida de tensión
(%)</t>
  </si>
  <si>
    <t>Sección mm2</t>
  </si>
  <si>
    <t>Seción Comercial mm2</t>
  </si>
  <si>
    <t>Caida de tensión comercial (%)</t>
  </si>
  <si>
    <t xml:space="preserve">corrección por Temp </t>
  </si>
  <si>
    <t>nº conductores</t>
  </si>
  <si>
    <t>Imax revisada (A)</t>
  </si>
  <si>
    <t>sistemas de Pretección</t>
  </si>
  <si>
    <t>Sección Comercial</t>
  </si>
  <si>
    <t>SISTEMAS DC</t>
  </si>
  <si>
    <t>Generador a Regulador de carga</t>
  </si>
  <si>
    <t>Baterías a Inversor</t>
  </si>
  <si>
    <t>Regulador a baterías</t>
  </si>
  <si>
    <t xml:space="preserve">SISTEMAS AC </t>
  </si>
  <si>
    <t>Inversor a Carga AC</t>
  </si>
  <si>
    <t>OTROS CIRCUITOS</t>
  </si>
  <si>
    <t>SISTEMA HÍBRIDO PV-EÓLICO</t>
  </si>
  <si>
    <t>Ancho de Rotor</t>
  </si>
  <si>
    <t>Eficicecia Aerogenerador</t>
  </si>
  <si>
    <t>Coste R fv (€/kWp)</t>
  </si>
  <si>
    <t>Coste R eolico (€/m2)</t>
  </si>
  <si>
    <t xml:space="preserve">Menor PV </t>
  </si>
  <si>
    <t>Peor mes eolico</t>
  </si>
  <si>
    <t>MES</t>
  </si>
  <si>
    <t>Horas de sol pico</t>
  </si>
  <si>
    <t>Velocidad del viento (m/s)</t>
  </si>
  <si>
    <t>velocidad viento en rotor (m/s)</t>
  </si>
  <si>
    <t>Densidad de energía Wind x Effi</t>
  </si>
  <si>
    <t>Consumo diario(kWh/dia)</t>
  </si>
  <si>
    <t>Energía PV Generada (kWh/dia)</t>
  </si>
  <si>
    <t>Coste (€)</t>
  </si>
  <si>
    <t>Configuración solo PV (kWp)</t>
  </si>
  <si>
    <t>Configuración solo eólica (m2)</t>
  </si>
  <si>
    <t>Configuración híbrida óptima</t>
  </si>
  <si>
    <t>Energía eólica generada (kWh/day)</t>
  </si>
  <si>
    <t>2nd best energía híbrida generada (kWh/dia)</t>
  </si>
  <si>
    <t>Óptima Energía híbrida generada (kWh/dia)</t>
  </si>
  <si>
    <t>3rd best  energía híbrida generada (kWh/dia)</t>
  </si>
  <si>
    <t>4th best  energía híbrida generada (kWh/dia)</t>
  </si>
  <si>
    <t>2º mejor configuración híbrida</t>
  </si>
  <si>
    <t>3er mejor configuración híbrida</t>
  </si>
  <si>
    <t>4º mejor configuración híbrida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</si>
</sst>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
    <numFmt numFmtId="168" formatCode="#,##0.00\ [$€-40A]"/>
  </numFmts>
  <fonts count="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1"/>
      <name val="Arial Unicode MS"/>
      <family val="2"/>
    </font>
    <font>
      <sz val="8"/>
      <name val="Arial"/>
      <family val="2"/>
    </font>
    <font>
      <sz val="7.5"/>
      <name val="Arial"/>
      <family val="2"/>
    </font>
    <font>
      <sz val="12"/>
      <name val="Arial"/>
      <family val="2"/>
    </font>
    <font>
      <b/>
      <sz val="14"/>
      <name val="Arial Unicode MS"/>
      <family val="2"/>
    </font>
    <font>
      <b/>
      <sz val="11"/>
      <color indexed="57"/>
      <name val="Arial Unicode MS"/>
      <family val="2"/>
    </font>
    <font>
      <i/>
      <sz val="12"/>
      <color indexed="8"/>
      <name val="Arial"/>
      <family val="2"/>
    </font>
    <font>
      <i/>
      <sz val="12"/>
      <name val="Arial"/>
      <family val="2"/>
    </font>
    <font>
      <sz val="8"/>
      <name val="Arial"/>
      <family val="2"/>
    </font>
    <font>
      <sz val="10"/>
      <name val="Courier"/>
      <family val="3"/>
    </font>
    <font>
      <sz val="8"/>
      <name val="Times New Roman"/>
      <family val="1"/>
    </font>
    <font>
      <sz val="10"/>
      <name val="Times New Roman"/>
      <family val="1"/>
    </font>
    <font>
      <sz val="8"/>
      <color indexed="8"/>
      <name val="Arial"/>
      <family val="2"/>
    </font>
    <font>
      <sz val="10"/>
      <name val="Arial Narrow"/>
      <family val="2"/>
    </font>
    <font>
      <b/>
      <sz val="10"/>
      <color indexed="43"/>
      <name val="Arial"/>
      <family val="2"/>
    </font>
    <font>
      <b/>
      <sz val="10"/>
      <color indexed="48"/>
      <name val="Arial"/>
      <family val="2"/>
    </font>
    <font>
      <sz val="10"/>
      <name val="Arial"/>
      <family val="2"/>
    </font>
    <font>
      <i/>
      <sz val="11"/>
      <color indexed="8"/>
      <name val="Arial"/>
      <family val="2"/>
    </font>
    <font>
      <b/>
      <sz val="10"/>
      <color indexed="47"/>
      <name val="Arial"/>
      <family val="2"/>
    </font>
    <font>
      <b/>
      <sz val="11"/>
      <color indexed="47"/>
      <name val="Arial Unicode MS"/>
      <family val="2"/>
    </font>
    <font>
      <b/>
      <sz val="10"/>
      <color indexed="26"/>
      <name val="Arial"/>
      <family val="2"/>
    </font>
    <font>
      <b/>
      <sz val="10"/>
      <color indexed="10"/>
      <name val="Arial"/>
      <family val="2"/>
    </font>
    <font>
      <sz val="11"/>
      <color theme="1"/>
      <name val="Calibri"/>
      <family val="2"/>
      <scheme val="minor"/>
    </font>
    <font>
      <sz val="11"/>
      <color theme="0"/>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b/>
      <sz val="11"/>
      <color rgb="FFC00000"/>
      <name val="Calibri"/>
      <family val="2"/>
      <scheme val="minor"/>
    </font>
    <font>
      <b/>
      <sz val="11"/>
      <color theme="9" tint="-0.499984740745262"/>
      <name val="Calibri"/>
      <family val="2"/>
      <scheme val="minor"/>
    </font>
    <font>
      <b/>
      <sz val="12"/>
      <color theme="9" tint="-0.499984740745262"/>
      <name val="Calibri"/>
      <family val="2"/>
      <scheme val="minor"/>
    </font>
    <font>
      <b/>
      <sz val="11"/>
      <color theme="9" tint="-0.499984740745262"/>
      <name val="Arial Unicode MS"/>
      <family val="2"/>
    </font>
    <font>
      <b/>
      <sz val="16"/>
      <color theme="9" tint="-0.499984740745262"/>
      <name val="Calibri"/>
      <family val="2"/>
      <scheme val="minor"/>
    </font>
    <font>
      <b/>
      <sz val="11"/>
      <color theme="1" tint="0.14999847407452621"/>
      <name val="Calibri"/>
      <family val="2"/>
      <scheme val="minor"/>
    </font>
    <font>
      <b/>
      <sz val="11"/>
      <color rgb="FF002060"/>
      <name val="Calibri"/>
      <family val="2"/>
      <scheme val="minor"/>
    </font>
    <font>
      <b/>
      <sz val="14"/>
      <color rgb="FFC00000"/>
      <name val="Calibri"/>
      <family val="2"/>
      <scheme val="minor"/>
    </font>
    <font>
      <b/>
      <sz val="14"/>
      <color theme="1" tint="0.14999847407452621"/>
      <name val="Calibri"/>
      <family val="2"/>
      <scheme val="minor"/>
    </font>
    <font>
      <b/>
      <sz val="14"/>
      <color rgb="FF002060"/>
      <name val="Calibri"/>
      <family val="2"/>
      <scheme val="minor"/>
    </font>
    <font>
      <b/>
      <sz val="14"/>
      <color theme="9" tint="-0.499984740745262"/>
      <name val="Calibri"/>
      <family val="2"/>
      <scheme val="minor"/>
    </font>
    <font>
      <b/>
      <sz val="12"/>
      <color rgb="FFC00000"/>
      <name val="Calibri"/>
      <family val="2"/>
      <scheme val="minor"/>
    </font>
    <font>
      <b/>
      <sz val="10"/>
      <color theme="0"/>
      <name val="Arial Unicode MS"/>
      <family val="2"/>
    </font>
    <font>
      <b/>
      <sz val="11"/>
      <color rgb="FFFF0000"/>
      <name val="Century Gothic"/>
      <family val="2"/>
    </font>
    <font>
      <b/>
      <sz val="11"/>
      <color rgb="FF7030A0"/>
      <name val="Century Gothic"/>
      <family val="2"/>
    </font>
    <font>
      <b/>
      <sz val="10"/>
      <color theme="0"/>
      <name val="Calibri"/>
      <family val="2"/>
      <scheme val="minor"/>
    </font>
    <font>
      <b/>
      <sz val="10"/>
      <color rgb="FFC00000"/>
      <name val="Calibri"/>
      <family val="2"/>
      <scheme val="minor"/>
    </font>
    <font>
      <b/>
      <sz val="10"/>
      <color theme="9" tint="-0.499984740745262"/>
      <name val="Calibri"/>
      <family val="2"/>
      <scheme val="minor"/>
    </font>
    <font>
      <b/>
      <sz val="14"/>
      <color rgb="FF9C6500"/>
      <name val="Calibri"/>
      <family val="2"/>
      <scheme val="minor"/>
    </font>
    <font>
      <b/>
      <sz val="10"/>
      <color rgb="FF9C6500"/>
      <name val="Calibri"/>
      <family val="2"/>
      <scheme val="minor"/>
    </font>
    <font>
      <b/>
      <sz val="8"/>
      <color theme="0"/>
      <name val="Calibri"/>
      <family val="2"/>
      <scheme val="minor"/>
    </font>
    <font>
      <b/>
      <sz val="14"/>
      <color theme="2"/>
      <name val="Calibri"/>
      <family val="2"/>
      <scheme val="minor"/>
    </font>
    <font>
      <b/>
      <sz val="16"/>
      <color theme="5" tint="-0.499984740745262"/>
      <name val="Arial"/>
      <family val="2"/>
    </font>
    <font>
      <b/>
      <sz val="11"/>
      <color rgb="FFFA7D00"/>
      <name val="Calibri"/>
      <family val="2"/>
      <scheme val="minor"/>
    </font>
    <font>
      <b/>
      <sz val="9"/>
      <color rgb="FFFF0000"/>
      <name val="Century Gothic"/>
      <family val="2"/>
    </font>
    <font>
      <b/>
      <sz val="11"/>
      <color theme="3" tint="-0.249977111117893"/>
      <name val="Century Gothic"/>
      <family val="2"/>
    </font>
    <font>
      <b/>
      <sz val="11"/>
      <color rgb="FF7030A0"/>
      <name val="Calibri"/>
      <family val="2"/>
      <scheme val="minor"/>
    </font>
    <font>
      <b/>
      <sz val="11"/>
      <color rgb="FF3F3F3F"/>
      <name val="Calibri"/>
      <family val="2"/>
      <scheme val="minor"/>
    </font>
    <font>
      <sz val="10"/>
      <color theme="0" tint="-0.14999847407452621"/>
      <name val="Arial"/>
      <family val="2"/>
    </font>
    <font>
      <b/>
      <sz val="9"/>
      <color theme="3" tint="-0.249977111117893"/>
      <name val="Century Gothic"/>
      <family val="2"/>
    </font>
    <font>
      <b/>
      <sz val="12"/>
      <color rgb="FF9C6500"/>
      <name val="Calibri"/>
      <family val="2"/>
      <scheme val="minor"/>
    </font>
    <font>
      <sz val="10"/>
      <color rgb="FFFF0000"/>
      <name val="Arial"/>
      <family val="2"/>
    </font>
    <font>
      <b/>
      <sz val="16"/>
      <name val="Calibri"/>
      <family val="2"/>
      <scheme val="minor"/>
    </font>
    <font>
      <b/>
      <sz val="12"/>
      <name val="Calibri"/>
      <family val="2"/>
      <scheme val="minor"/>
    </font>
    <font>
      <b/>
      <sz val="11"/>
      <name val="Calibri"/>
      <family val="2"/>
      <scheme val="minor"/>
    </font>
    <font>
      <b/>
      <sz val="14"/>
      <name val="Calibri"/>
      <family val="2"/>
      <scheme val="minor"/>
    </font>
    <font>
      <sz val="10"/>
      <color theme="0"/>
      <name val="Arial"/>
      <family val="2"/>
    </font>
    <font>
      <b/>
      <sz val="11"/>
      <color theme="0" tint="-0.14999847407452621"/>
      <name val="Arial Unicode MS"/>
      <family val="2"/>
    </font>
    <font>
      <sz val="10"/>
      <color theme="0" tint="-0.249977111117893"/>
      <name val="Arial"/>
      <family val="2"/>
    </font>
    <font>
      <b/>
      <sz val="10"/>
      <color theme="0" tint="-0.14999847407452621"/>
      <name val="Arial Unicode MS"/>
      <family val="2"/>
    </font>
    <font>
      <sz val="11"/>
      <color theme="0" tint="-0.14999847407452621"/>
      <name val="Calibri"/>
      <family val="2"/>
      <scheme val="minor"/>
    </font>
    <font>
      <b/>
      <sz val="10"/>
      <color theme="0" tint="-0.14999847407452621"/>
      <name val="Arial Narrow"/>
      <family val="2"/>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0"/>
      <color theme="2"/>
      <name val="Arial"/>
      <family val="2"/>
    </font>
  </fonts>
  <fills count="29">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38"/>
        <bgColor indexed="64"/>
      </patternFill>
    </fill>
    <fill>
      <patternFill patternType="solid">
        <fgColor indexed="43"/>
        <bgColor indexed="64"/>
      </patternFill>
    </fill>
    <fill>
      <patternFill patternType="solid">
        <fgColor indexed="50"/>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4" tint="0.59999389629810485"/>
        <bgColor indexed="65"/>
      </patternFill>
    </fill>
    <fill>
      <patternFill patternType="solid">
        <fgColor theme="6" tint="0.59999389629810485"/>
        <bgColor indexed="65"/>
      </patternFill>
    </fill>
    <fill>
      <patternFill patternType="solid">
        <fgColor theme="4"/>
      </patternFill>
    </fill>
    <fill>
      <patternFill patternType="solid">
        <fgColor rgb="FFFFEB9C"/>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patternFill>
    </fill>
    <fill>
      <patternFill patternType="solid">
        <fgColor rgb="FFF2F2F2"/>
      </patternFill>
    </fill>
    <fill>
      <patternFill patternType="solid">
        <fgColor theme="7" tint="0.59999389629810485"/>
        <bgColor indexed="64"/>
      </patternFill>
    </fill>
    <fill>
      <patternFill patternType="solid">
        <fgColor theme="7"/>
      </patternFill>
    </fill>
    <fill>
      <patternFill patternType="solid">
        <fgColor theme="7" tint="0.59999389629810485"/>
        <bgColor indexed="65"/>
      </patternFill>
    </fill>
    <fill>
      <patternFill patternType="solid">
        <fgColor theme="0" tint="-0.14999847407452621"/>
        <bgColor auto="1"/>
      </patternFill>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002060"/>
        <bgColor indexed="64"/>
      </patternFill>
    </fill>
    <fill>
      <patternFill patternType="solid">
        <fgColor theme="9" tint="0.79998168889431442"/>
        <bgColor indexed="64"/>
      </patternFill>
    </fill>
    <fill>
      <patternFill patternType="solid">
        <fgColor rgb="FFFFFF99"/>
        <bgColor indexed="64"/>
      </patternFill>
    </fill>
  </fills>
  <borders count="180">
    <border>
      <left/>
      <right/>
      <top/>
      <bottom/>
      <diagonal/>
    </border>
    <border>
      <left/>
      <right style="medium">
        <color indexed="64"/>
      </right>
      <top/>
      <bottom/>
      <diagonal/>
    </border>
    <border>
      <left style="double">
        <color indexed="64"/>
      </left>
      <right/>
      <top style="double">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tted">
        <color indexed="64"/>
      </left>
      <right style="dotted">
        <color indexed="64"/>
      </right>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medium">
        <color indexed="64"/>
      </left>
      <right style="double">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uble">
        <color indexed="64"/>
      </left>
      <right style="dotted">
        <color indexed="64"/>
      </right>
      <top style="medium">
        <color indexed="64"/>
      </top>
      <bottom style="double">
        <color indexed="64"/>
      </bottom>
      <diagonal/>
    </border>
    <border>
      <left style="dotted">
        <color indexed="64"/>
      </left>
      <right/>
      <top style="double">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medium">
        <color indexed="64"/>
      </bottom>
      <diagonal/>
    </border>
    <border>
      <left style="dotted">
        <color indexed="64"/>
      </left>
      <right style="dotted">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dashed">
        <color indexed="64"/>
      </left>
      <right style="dashed">
        <color indexed="64"/>
      </right>
      <top style="double">
        <color indexed="64"/>
      </top>
      <bottom style="medium">
        <color indexed="64"/>
      </bottom>
      <diagonal/>
    </border>
    <border>
      <left style="dashed">
        <color indexed="64"/>
      </left>
      <right style="double">
        <color indexed="64"/>
      </right>
      <top style="double">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dashed">
        <color indexed="64"/>
      </left>
      <right style="double">
        <color indexed="64"/>
      </right>
      <top style="medium">
        <color indexed="64"/>
      </top>
      <bottom/>
      <diagonal/>
    </border>
    <border>
      <left style="dashed">
        <color indexed="64"/>
      </left>
      <right style="double">
        <color indexed="64"/>
      </right>
      <top/>
      <bottom/>
      <diagonal/>
    </border>
    <border>
      <left style="dashed">
        <color indexed="64"/>
      </left>
      <right style="double">
        <color indexed="64"/>
      </right>
      <top/>
      <bottom style="medium">
        <color indexed="64"/>
      </bottom>
      <diagonal/>
    </border>
    <border>
      <left style="double">
        <color indexed="64"/>
      </left>
      <right style="dashed">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thin">
        <color indexed="64"/>
      </bottom>
      <diagonal/>
    </border>
    <border>
      <left style="dotted">
        <color indexed="64"/>
      </left>
      <right/>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style="medium">
        <color theme="6" tint="-0.249977111117893"/>
      </top>
      <bottom style="medium">
        <color indexed="64"/>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thin">
        <color theme="6" tint="-0.249977111117893"/>
      </left>
      <right/>
      <top/>
      <bottom/>
      <diagonal/>
    </border>
    <border>
      <left/>
      <right style="thin">
        <color theme="6" tint="-0.249977111117893"/>
      </right>
      <top/>
      <bottom/>
      <diagonal/>
    </border>
    <border>
      <left style="thin">
        <color indexed="64"/>
      </left>
      <right style="thin">
        <color indexed="64"/>
      </right>
      <top style="thin">
        <color indexed="64"/>
      </top>
      <bottom style="medium">
        <color theme="6" tint="-0.249977111117893"/>
      </bottom>
      <diagonal/>
    </border>
    <border>
      <left style="dashed">
        <color indexed="64"/>
      </left>
      <right style="dashed">
        <color indexed="64"/>
      </right>
      <top style="medium">
        <color theme="6" tint="-0.249977111117893"/>
      </top>
      <bottom style="medium">
        <color theme="6" tint="-0.249977111117893"/>
      </bottom>
      <diagonal/>
    </border>
    <border>
      <left style="medium">
        <color theme="6" tint="-0.249977111117893"/>
      </left>
      <right style="dashed">
        <color indexed="64"/>
      </right>
      <top style="medium">
        <color theme="6" tint="-0.249977111117893"/>
      </top>
      <bottom style="medium">
        <color theme="6" tint="-0.249977111117893"/>
      </bottom>
      <diagonal/>
    </border>
    <border>
      <left style="dashed">
        <color indexed="64"/>
      </left>
      <right style="dotted">
        <color indexed="64"/>
      </right>
      <top style="medium">
        <color theme="6" tint="-0.249977111117893"/>
      </top>
      <bottom style="medium">
        <color theme="6" tint="-0.249977111117893"/>
      </bottom>
      <diagonal/>
    </border>
    <border>
      <left style="dotted">
        <color indexed="64"/>
      </left>
      <right style="dotted">
        <color indexed="64"/>
      </right>
      <top style="medium">
        <color theme="6" tint="-0.249977111117893"/>
      </top>
      <bottom style="medium">
        <color theme="6" tint="-0.249977111117893"/>
      </bottom>
      <diagonal/>
    </border>
    <border>
      <left style="dotted">
        <color indexed="64"/>
      </left>
      <right style="dotted">
        <color indexed="64"/>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medium">
        <color theme="6" tint="-0.249977111117893"/>
      </left>
      <right/>
      <top style="medium">
        <color theme="6" tint="-0.249977111117893"/>
      </top>
      <bottom style="medium">
        <color theme="6" tint="-0.249977111117893"/>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thin">
        <color theme="6" tint="-0.249977111117893"/>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right style="medium">
        <color theme="6" tint="-0.249977111117893"/>
      </right>
      <top/>
      <bottom/>
      <diagonal/>
    </border>
    <border>
      <left style="medium">
        <color theme="6" tint="-0.249977111117893"/>
      </left>
      <right/>
      <top/>
      <bottom style="medium">
        <color theme="6" tint="-0.249977111117893"/>
      </bottom>
      <diagonal/>
    </border>
    <border>
      <left/>
      <right/>
      <top/>
      <bottom style="medium">
        <color theme="6" tint="-0.249977111117893"/>
      </bottom>
      <diagonal/>
    </border>
    <border>
      <left/>
      <right style="medium">
        <color theme="6" tint="-0.249977111117893"/>
      </right>
      <top/>
      <bottom style="medium">
        <color theme="6" tint="-0.249977111117893"/>
      </bottom>
      <diagonal/>
    </border>
    <border>
      <left/>
      <right/>
      <top style="medium">
        <color theme="6" tint="-0.249977111117893"/>
      </top>
      <bottom/>
      <diagonal/>
    </border>
    <border>
      <left/>
      <right style="dashed">
        <color indexed="64"/>
      </right>
      <top style="medium">
        <color theme="6" tint="-0.249977111117893"/>
      </top>
      <bottom style="medium">
        <color theme="6" tint="-0.249977111117893"/>
      </bottom>
      <diagonal/>
    </border>
    <border>
      <left style="medium">
        <color theme="6" tint="-0.249977111117893"/>
      </left>
      <right/>
      <top/>
      <bottom/>
      <diagonal/>
    </border>
    <border>
      <left style="dotted">
        <color indexed="64"/>
      </left>
      <right/>
      <top style="medium">
        <color theme="6" tint="-0.249977111117893"/>
      </top>
      <bottom style="medium">
        <color theme="6" tint="-0.249977111117893"/>
      </bottom>
      <diagonal/>
    </border>
    <border>
      <left/>
      <right/>
      <top style="thin">
        <color theme="6" tint="-0.249977111117893"/>
      </top>
      <bottom/>
      <diagonal/>
    </border>
    <border>
      <left style="medium">
        <color theme="6" tint="-0.249977111117893"/>
      </left>
      <right style="medium">
        <color theme="6" tint="-0.249977111117893"/>
      </right>
      <top style="thin">
        <color theme="6" tint="-0.249977111117893"/>
      </top>
      <bottom/>
      <diagonal/>
    </border>
    <border>
      <left style="medium">
        <color theme="6" tint="-0.249977111117893"/>
      </left>
      <right style="medium">
        <color theme="6" tint="-0.249977111117893"/>
      </right>
      <top/>
      <bottom/>
      <diagonal/>
    </border>
    <border>
      <left style="dashed">
        <color indexed="64"/>
      </left>
      <right/>
      <top style="medium">
        <color theme="6" tint="-0.249977111117893"/>
      </top>
      <bottom style="medium">
        <color theme="6" tint="-0.249977111117893"/>
      </bottom>
      <diagonal/>
    </border>
    <border>
      <left style="dotted">
        <color indexed="64"/>
      </left>
      <right style="medium">
        <color theme="6" tint="-0.249977111117893"/>
      </right>
      <top style="medium">
        <color theme="6" tint="-0.249977111117893"/>
      </top>
      <bottom style="medium">
        <color theme="6" tint="-0.249977111117893"/>
      </bottom>
      <diagonal/>
    </border>
    <border>
      <left style="medium">
        <color theme="6" tint="-0.249977111117893"/>
      </left>
      <right style="medium">
        <color theme="6" tint="-0.249977111117893"/>
      </right>
      <top style="medium">
        <color theme="6" tint="-0.249977111117893"/>
      </top>
      <bottom style="thin">
        <color theme="6" tint="-0.249977111117893"/>
      </bottom>
      <diagonal/>
    </border>
    <border>
      <left style="medium">
        <color theme="6" tint="-0.249977111117893"/>
      </left>
      <right style="medium">
        <color theme="6" tint="-0.249977111117893"/>
      </right>
      <top/>
      <bottom style="medium">
        <color theme="6" tint="-0.249977111117893"/>
      </bottom>
      <diagonal/>
    </border>
    <border>
      <left style="medium">
        <color theme="6" tint="-0.249977111117893"/>
      </left>
      <right style="medium">
        <color theme="6" tint="-0.249977111117893"/>
      </right>
      <top style="thin">
        <color theme="6" tint="-0.249977111117893"/>
      </top>
      <bottom style="thin">
        <color theme="6" tint="-0.249977111117893"/>
      </bottom>
      <diagonal/>
    </border>
    <border>
      <left style="medium">
        <color theme="6" tint="-0.249977111117893"/>
      </left>
      <right style="medium">
        <color theme="6" tint="-0.249977111117893"/>
      </right>
      <top style="medium">
        <color theme="6" tint="-0.249977111117893"/>
      </top>
      <bottom/>
      <diagonal/>
    </border>
    <border>
      <left style="thin">
        <color rgb="FF7F7F7F"/>
      </left>
      <right style="thin">
        <color rgb="FF7F7F7F"/>
      </right>
      <top style="thin">
        <color rgb="FF7F7F7F"/>
      </top>
      <bottom style="thin">
        <color rgb="FF7F7F7F"/>
      </bottom>
      <diagonal/>
    </border>
    <border>
      <left style="medium">
        <color theme="6" tint="-0.249977111117893"/>
      </left>
      <right style="dashed">
        <color indexed="64"/>
      </right>
      <top/>
      <bottom/>
      <diagonal/>
    </border>
    <border>
      <left style="dashed">
        <color indexed="64"/>
      </left>
      <right style="dotted">
        <color indexed="64"/>
      </right>
      <top/>
      <bottom/>
      <diagonal/>
    </border>
    <border>
      <left style="dotted">
        <color indexed="64"/>
      </left>
      <right style="medium">
        <color theme="6" tint="-0.249977111117893"/>
      </right>
      <top/>
      <bottom/>
      <diagonal/>
    </border>
    <border>
      <left style="dotted">
        <color indexed="64"/>
      </left>
      <right style="medium">
        <color theme="6" tint="-0.249977111117893"/>
      </right>
      <top/>
      <bottom style="medium">
        <color theme="6" tint="-0.249977111117893"/>
      </bottom>
      <diagonal/>
    </border>
    <border>
      <left style="medium">
        <color theme="6" tint="-0.249977111117893"/>
      </left>
      <right style="dotted">
        <color indexed="64"/>
      </right>
      <top/>
      <bottom/>
      <diagonal/>
    </border>
    <border>
      <left style="dotted">
        <color indexed="64"/>
      </left>
      <right style="medium">
        <color theme="6" tint="-0.24994659260841701"/>
      </right>
      <top/>
      <bottom/>
      <diagonal/>
    </border>
    <border>
      <left style="medium">
        <color theme="6" tint="-0.24994659260841701"/>
      </left>
      <right style="dotted">
        <color indexed="64"/>
      </right>
      <top/>
      <bottom/>
      <diagonal/>
    </border>
    <border>
      <left style="medium">
        <color theme="6" tint="-0.249977111117893"/>
      </left>
      <right style="dashed">
        <color indexed="64"/>
      </right>
      <top style="medium">
        <color theme="6" tint="-0.249977111117893"/>
      </top>
      <bottom/>
      <diagonal/>
    </border>
    <border>
      <left style="dashed">
        <color indexed="64"/>
      </left>
      <right style="dotted">
        <color indexed="64"/>
      </right>
      <top style="medium">
        <color theme="6" tint="-0.249977111117893"/>
      </top>
      <bottom/>
      <diagonal/>
    </border>
    <border>
      <left style="dotted">
        <color indexed="64"/>
      </left>
      <right style="dotted">
        <color indexed="64"/>
      </right>
      <top style="medium">
        <color theme="6" tint="-0.24994659260841701"/>
      </top>
      <bottom/>
      <diagonal/>
    </border>
    <border>
      <left style="medium">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medium">
        <color theme="6" tint="-0.249977111117893"/>
      </right>
      <top style="thin">
        <color theme="6" tint="-0.249977111117893"/>
      </top>
      <bottom/>
      <diagonal/>
    </border>
    <border>
      <left style="thin">
        <color theme="6" tint="-0.249977111117893"/>
      </left>
      <right style="medium">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medium">
        <color theme="6" tint="-0.249977111117893"/>
      </left>
      <right style="thin">
        <color theme="6" tint="-0.249977111117893"/>
      </right>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style="medium">
        <color theme="6" tint="-0.249977111117893"/>
      </right>
      <top/>
      <bottom style="thin">
        <color theme="6" tint="-0.249977111117893"/>
      </bottom>
      <diagonal/>
    </border>
    <border>
      <left style="dashed">
        <color indexed="64"/>
      </left>
      <right style="dashed">
        <color indexed="64"/>
      </right>
      <top style="medium">
        <color theme="6" tint="-0.249977111117893"/>
      </top>
      <bottom/>
      <diagonal/>
    </border>
    <border>
      <left/>
      <right style="medium">
        <color theme="6" tint="-0.24994659260841701"/>
      </right>
      <top style="medium">
        <color theme="6" tint="-0.24994659260841701"/>
      </top>
      <bottom/>
      <diagonal/>
    </border>
    <border>
      <left style="medium">
        <color theme="6" tint="-0.249977111117893"/>
      </left>
      <right/>
      <top/>
      <bottom style="thin">
        <color theme="6" tint="-0.249977111117893"/>
      </bottom>
      <diagonal/>
    </border>
    <border>
      <left style="medium">
        <color theme="6" tint="-0.249977111117893"/>
      </left>
      <right style="medium">
        <color theme="6" tint="-0.249977111117893"/>
      </right>
      <top/>
      <bottom style="thin">
        <color theme="6" tint="-0.249977111117893"/>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medium">
        <color theme="6" tint="-0.249977111117893"/>
      </left>
      <right/>
      <top style="thin">
        <color theme="6" tint="-0.249977111117893"/>
      </top>
      <bottom/>
      <diagonal/>
    </border>
    <border>
      <left style="medium">
        <color theme="6" tint="-0.249977111117893"/>
      </left>
      <right style="thin">
        <color theme="6" tint="-0.249977111117893"/>
      </right>
      <top style="thin">
        <color theme="6" tint="-0.249977111117893"/>
      </top>
      <bottom/>
      <diagonal/>
    </border>
    <border>
      <left style="thin">
        <color theme="6" tint="-0.249977111117893"/>
      </left>
      <right style="thin">
        <color theme="6" tint="-0.249977111117893"/>
      </right>
      <top style="thin">
        <color theme="6" tint="-0.249977111117893"/>
      </top>
      <bottom/>
      <diagonal/>
    </border>
    <border>
      <left style="thin">
        <color theme="6" tint="-0.249977111117893"/>
      </left>
      <right style="medium">
        <color theme="6" tint="-0.249977111117893"/>
      </right>
      <top/>
      <bottom/>
      <diagonal/>
    </border>
    <border>
      <left style="thin">
        <color theme="6" tint="-0.249977111117893"/>
      </left>
      <right style="thin">
        <color theme="6" tint="-0.249977111117893"/>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theme="6" tint="-0.24994659260841701"/>
      </left>
      <right style="dotted">
        <color indexed="64"/>
      </right>
      <top style="medium">
        <color theme="6" tint="-0.24994659260841701"/>
      </top>
      <bottom style="medium">
        <color theme="6" tint="-0.24994659260841701"/>
      </bottom>
      <diagonal/>
    </border>
    <border>
      <left style="dotted">
        <color indexed="64"/>
      </left>
      <right/>
      <top style="medium">
        <color theme="6" tint="-0.249977111117893"/>
      </top>
      <bottom style="medium">
        <color theme="6" tint="-0.24994659260841701"/>
      </bottom>
      <diagonal/>
    </border>
    <border>
      <left style="dashed">
        <color indexed="64"/>
      </left>
      <right style="dashed">
        <color indexed="64"/>
      </right>
      <top style="medium">
        <color theme="6" tint="-0.24994659260841701"/>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right style="dotted">
        <color indexed="64"/>
      </right>
      <top style="double">
        <color indexed="64"/>
      </top>
      <bottom/>
      <diagonal/>
    </border>
    <border>
      <left style="dotted">
        <color indexed="64"/>
      </left>
      <right style="hair">
        <color indexed="64"/>
      </right>
      <top style="medium">
        <color theme="6" tint="-0.24994659260841701"/>
      </top>
      <bottom style="medium">
        <color theme="6" tint="-0.24994659260841701"/>
      </bottom>
      <diagonal/>
    </border>
    <border>
      <left style="dotted">
        <color indexed="64"/>
      </left>
      <right style="medium">
        <color theme="6" tint="-0.24994659260841701"/>
      </right>
      <top style="medium">
        <color theme="6" tint="-0.249977111117893"/>
      </top>
      <bottom style="medium">
        <color theme="6" tint="-0.24994659260841701"/>
      </bottom>
      <diagonal/>
    </border>
    <border>
      <left style="dotted">
        <color theme="0"/>
      </left>
      <right/>
      <top style="dotted">
        <color theme="0"/>
      </top>
      <bottom style="dotted">
        <color theme="0"/>
      </bottom>
      <diagonal/>
    </border>
    <border>
      <left style="medium">
        <color theme="0"/>
      </left>
      <right/>
      <top style="medium">
        <color theme="0"/>
      </top>
      <bottom style="dotted">
        <color theme="0"/>
      </bottom>
      <diagonal/>
    </border>
    <border>
      <left style="thin">
        <color rgb="FF3F3F3F"/>
      </left>
      <right style="thin">
        <color rgb="FF3F3F3F"/>
      </right>
      <top style="thin">
        <color rgb="FF3F3F3F"/>
      </top>
      <bottom style="thin">
        <color rgb="FF3F3F3F"/>
      </bottom>
      <diagonal/>
    </border>
    <border>
      <left style="double">
        <color theme="0"/>
      </left>
      <right style="double">
        <color theme="0"/>
      </right>
      <top style="double">
        <color theme="0"/>
      </top>
      <bottom/>
      <diagonal/>
    </border>
    <border>
      <left style="medium">
        <color theme="6" tint="-0.249977111117893"/>
      </left>
      <right/>
      <top style="thin">
        <color theme="6" tint="-0.249977111117893"/>
      </top>
      <bottom style="thin">
        <color theme="6" tint="-0.249977111117893"/>
      </bottom>
      <diagonal/>
    </border>
    <border>
      <left/>
      <right style="medium">
        <color theme="6" tint="-0.249977111117893"/>
      </right>
      <top style="thin">
        <color theme="6" tint="-0.249977111117893"/>
      </top>
      <bottom style="thin">
        <color theme="6" tint="-0.249977111117893"/>
      </bottom>
      <diagonal/>
    </border>
    <border>
      <left/>
      <right/>
      <top style="medium">
        <color theme="0"/>
      </top>
      <bottom style="dotted">
        <color theme="0"/>
      </bottom>
      <diagonal/>
    </border>
    <border>
      <left style="thick">
        <color theme="0"/>
      </left>
      <right style="thick">
        <color theme="0"/>
      </right>
      <top style="thick">
        <color theme="0"/>
      </top>
      <bottom style="thick">
        <color theme="0"/>
      </bottom>
      <diagonal/>
    </border>
    <border>
      <left/>
      <right/>
      <top style="dotted">
        <color theme="0"/>
      </top>
      <bottom style="dotted">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top style="thin">
        <color auto="1"/>
      </top>
      <bottom/>
      <diagonal/>
    </border>
    <border>
      <left style="double">
        <color indexed="64"/>
      </left>
      <right style="medium">
        <color indexed="64"/>
      </right>
      <top style="medium">
        <color indexed="64"/>
      </top>
      <bottom style="double">
        <color indexed="64"/>
      </bottom>
      <diagonal/>
    </border>
    <border>
      <left style="medium">
        <color theme="6" tint="-0.249977111117893"/>
      </left>
      <right/>
      <top style="medium">
        <color theme="6" tint="-0.249977111117893"/>
      </top>
      <bottom style="thin">
        <color theme="6" tint="-0.249977111117893"/>
      </bottom>
      <diagonal/>
    </border>
    <border>
      <left/>
      <right style="medium">
        <color theme="6" tint="-0.249977111117893"/>
      </right>
      <top style="medium">
        <color theme="6" tint="-0.249977111117893"/>
      </top>
      <bottom style="thin">
        <color theme="6" tint="-0.249977111117893"/>
      </bottom>
      <diagonal/>
    </border>
    <border>
      <left style="medium">
        <color theme="6" tint="-0.249977111117893"/>
      </left>
      <right style="dashed">
        <color indexed="64"/>
      </right>
      <top/>
      <bottom style="medium">
        <color theme="6" tint="-0.249977111117893"/>
      </bottom>
      <diagonal/>
    </border>
    <border>
      <left style="dashed">
        <color indexed="64"/>
      </left>
      <right style="medium">
        <color theme="6" tint="-0.24994659260841701"/>
      </right>
      <top style="medium">
        <color theme="6" tint="-0.24994659260841701"/>
      </top>
      <bottom/>
      <diagonal/>
    </border>
    <border>
      <left style="dashed">
        <color indexed="64"/>
      </left>
      <right style="medium">
        <color theme="6" tint="-0.24994659260841701"/>
      </right>
      <top/>
      <bottom style="medium">
        <color theme="6" tint="-0.24994659260841701"/>
      </bottom>
      <diagonal/>
    </border>
    <border>
      <left/>
      <right/>
      <top style="thin">
        <color theme="6" tint="-0.249977111117893"/>
      </top>
      <bottom style="thin">
        <color theme="6" tint="-0.249977111117893"/>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theme="6" tint="-0.249977111117893"/>
      </right>
      <top style="medium">
        <color theme="6" tint="-0.249977111117893"/>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14">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5" fillId="11" borderId="0" applyNumberFormat="0" applyBorder="0" applyAlignment="0" applyProtection="0"/>
    <xf numFmtId="0" fontId="37" fillId="12" borderId="0" applyNumberFormat="0" applyBorder="0" applyAlignment="0" applyProtection="0"/>
    <xf numFmtId="0" fontId="21" fillId="0" borderId="0"/>
    <xf numFmtId="0" fontId="35" fillId="16" borderId="0" applyNumberFormat="0" applyBorder="0" applyAlignment="0" applyProtection="0"/>
    <xf numFmtId="0" fontId="62" fillId="17" borderId="96" applyNumberFormat="0" applyAlignment="0" applyProtection="0"/>
    <xf numFmtId="0" fontId="35" fillId="19" borderId="0" applyNumberFormat="0" applyBorder="0" applyAlignment="0" applyProtection="0"/>
    <xf numFmtId="0" fontId="6" fillId="20" borderId="0" applyNumberFormat="0" applyBorder="0" applyAlignment="0" applyProtection="0"/>
    <xf numFmtId="0" fontId="66" fillId="17" borderId="138" applyNumberFormat="0" applyAlignment="0" applyProtection="0"/>
    <xf numFmtId="0" fontId="2" fillId="0" borderId="0"/>
  </cellStyleXfs>
  <cellXfs count="614">
    <xf numFmtId="0" fontId="0" fillId="0" borderId="0" xfId="0"/>
    <xf numFmtId="1" fontId="24" fillId="0" borderId="0" xfId="7" applyNumberFormat="1" applyFont="1" applyFill="1" applyBorder="1" applyAlignment="1" applyProtection="1">
      <alignment horizontal="center" vertical="center"/>
      <protection hidden="1"/>
    </xf>
    <xf numFmtId="1" fontId="24" fillId="0" borderId="1" xfId="7" applyNumberFormat="1" applyFont="1" applyFill="1" applyBorder="1" applyAlignment="1" applyProtection="1">
      <alignment horizontal="center" vertical="center"/>
      <protection hidden="1"/>
    </xf>
    <xf numFmtId="0" fontId="22" fillId="0" borderId="0" xfId="7" applyFont="1" applyAlignment="1" applyProtection="1">
      <alignment horizontal="center" vertical="center" wrapText="1"/>
      <protection hidden="1"/>
    </xf>
    <xf numFmtId="2" fontId="22" fillId="0" borderId="5" xfId="7" applyNumberFormat="1" applyFont="1" applyBorder="1" applyAlignment="1" applyProtection="1">
      <alignment horizontal="center" vertical="center" wrapText="1"/>
      <protection hidden="1"/>
    </xf>
    <xf numFmtId="0" fontId="0" fillId="0" borderId="0" xfId="0" applyProtection="1">
      <protection hidden="1"/>
    </xf>
    <xf numFmtId="0" fontId="22" fillId="0" borderId="0" xfId="7" applyFont="1" applyAlignment="1" applyProtection="1">
      <alignment horizontal="center" vertical="center"/>
      <protection hidden="1"/>
    </xf>
    <xf numFmtId="0" fontId="22" fillId="0" borderId="9" xfId="7" applyFont="1" applyBorder="1" applyAlignment="1" applyProtection="1">
      <alignment horizontal="center" vertical="center"/>
      <protection hidden="1"/>
    </xf>
    <xf numFmtId="0" fontId="22" fillId="0" borderId="10" xfId="7" applyFont="1" applyBorder="1" applyAlignment="1" applyProtection="1">
      <alignment horizontal="center" vertical="center"/>
      <protection hidden="1"/>
    </xf>
    <xf numFmtId="0" fontId="22" fillId="0" borderId="0" xfId="7" applyFont="1" applyBorder="1" applyAlignment="1" applyProtection="1">
      <alignment horizontal="center" vertical="center"/>
      <protection hidden="1"/>
    </xf>
    <xf numFmtId="0" fontId="22" fillId="0" borderId="1" xfId="7" applyFont="1" applyBorder="1" applyAlignment="1" applyProtection="1">
      <alignment horizontal="center" vertical="center"/>
      <protection hidden="1"/>
    </xf>
    <xf numFmtId="2" fontId="22" fillId="0" borderId="11" xfId="7" applyNumberFormat="1" applyFont="1" applyBorder="1" applyAlignment="1" applyProtection="1">
      <alignment horizontal="center" vertical="center"/>
      <protection hidden="1"/>
    </xf>
    <xf numFmtId="1" fontId="0" fillId="0" borderId="0" xfId="0" applyNumberFormat="1" applyProtection="1">
      <protection hidden="1"/>
    </xf>
    <xf numFmtId="0" fontId="20" fillId="0" borderId="10" xfId="7" applyFont="1" applyBorder="1" applyAlignment="1" applyProtection="1">
      <alignment horizontal="center" vertical="center"/>
      <protection hidden="1"/>
    </xf>
    <xf numFmtId="0" fontId="20" fillId="0" borderId="0" xfId="7" quotePrefix="1" applyFont="1" applyBorder="1" applyAlignment="1" applyProtection="1">
      <alignment horizontal="center" vertical="center"/>
      <protection hidden="1"/>
    </xf>
    <xf numFmtId="0" fontId="20" fillId="0" borderId="1" xfId="7" quotePrefix="1" applyFont="1" applyBorder="1" applyAlignment="1" applyProtection="1">
      <alignment horizontal="center" vertical="center"/>
      <protection hidden="1"/>
    </xf>
    <xf numFmtId="0" fontId="22" fillId="0" borderId="11" xfId="7" applyFont="1" applyBorder="1" applyAlignment="1" applyProtection="1">
      <alignment horizontal="center" vertical="center"/>
      <protection hidden="1"/>
    </xf>
    <xf numFmtId="0" fontId="22" fillId="0" borderId="12" xfId="7" applyFont="1" applyBorder="1" applyAlignment="1" applyProtection="1">
      <alignment horizontal="center" vertical="center"/>
      <protection hidden="1"/>
    </xf>
    <xf numFmtId="0" fontId="22" fillId="0" borderId="13" xfId="7" applyFont="1" applyBorder="1" applyAlignment="1" applyProtection="1">
      <alignment horizontal="center" vertical="center"/>
      <protection hidden="1"/>
    </xf>
    <xf numFmtId="0" fontId="22" fillId="0" borderId="14" xfId="7" applyFont="1" applyBorder="1" applyAlignment="1" applyProtection="1">
      <alignment horizontal="center" vertical="center"/>
      <protection hidden="1"/>
    </xf>
    <xf numFmtId="2" fontId="22" fillId="0" borderId="15" xfId="7" applyNumberFormat="1" applyFont="1" applyBorder="1" applyAlignment="1" applyProtection="1">
      <alignment horizontal="center" vertical="center"/>
      <protection hidden="1"/>
    </xf>
    <xf numFmtId="0" fontId="23" fillId="0" borderId="6" xfId="7" applyFont="1" applyBorder="1" applyAlignment="1" applyProtection="1">
      <alignment horizontal="center"/>
      <protection hidden="1"/>
    </xf>
    <xf numFmtId="0" fontId="23" fillId="0" borderId="7" xfId="7" applyFont="1" applyBorder="1" applyAlignment="1" applyProtection="1">
      <alignment horizontal="center"/>
      <protection hidden="1"/>
    </xf>
    <xf numFmtId="0" fontId="23" fillId="0" borderId="10" xfId="7" applyFont="1" applyBorder="1" applyAlignment="1" applyProtection="1">
      <alignment horizontal="center"/>
      <protection hidden="1"/>
    </xf>
    <xf numFmtId="0" fontId="23" fillId="0" borderId="8" xfId="7" applyFont="1" applyBorder="1" applyAlignment="1" applyProtection="1">
      <alignment horizontal="center"/>
      <protection hidden="1"/>
    </xf>
    <xf numFmtId="0" fontId="23" fillId="0" borderId="10" xfId="0" applyFont="1" applyBorder="1" applyAlignment="1" applyProtection="1">
      <alignment horizontal="center"/>
      <protection hidden="1"/>
    </xf>
    <xf numFmtId="0" fontId="22" fillId="0" borderId="0" xfId="0" applyFont="1" applyProtection="1">
      <protection hidden="1"/>
    </xf>
    <xf numFmtId="2" fontId="25" fillId="0" borderId="16" xfId="0" applyNumberFormat="1" applyFont="1" applyFill="1" applyBorder="1" applyAlignment="1" applyProtection="1">
      <alignment horizontal="center"/>
      <protection hidden="1"/>
    </xf>
    <xf numFmtId="2" fontId="39" fillId="7" borderId="0" xfId="1" applyNumberFormat="1" applyFont="1" applyBorder="1" applyAlignment="1" applyProtection="1">
      <alignment horizontal="center" vertical="center"/>
      <protection hidden="1"/>
    </xf>
    <xf numFmtId="164" fontId="39" fillId="7" borderId="0" xfId="1" applyNumberFormat="1" applyFont="1" applyBorder="1" applyAlignment="1" applyProtection="1">
      <alignment horizontal="center" vertical="center"/>
      <protection hidden="1"/>
    </xf>
    <xf numFmtId="4" fontId="43" fillId="13" borderId="21" xfId="5" applyNumberFormat="1" applyFont="1" applyFill="1" applyBorder="1" applyAlignment="1" applyProtection="1">
      <alignment horizontal="center" vertical="center"/>
      <protection hidden="1"/>
    </xf>
    <xf numFmtId="4" fontId="39" fillId="14" borderId="50" xfId="3" applyNumberFormat="1" applyFont="1" applyFill="1" applyBorder="1" applyAlignment="1" applyProtection="1">
      <alignment horizontal="center" vertical="center"/>
      <protection hidden="1"/>
    </xf>
    <xf numFmtId="4" fontId="39" fillId="14" borderId="51" xfId="3" applyNumberFormat="1" applyFont="1" applyFill="1" applyBorder="1" applyAlignment="1" applyProtection="1">
      <alignment horizontal="center" vertical="center"/>
      <protection hidden="1"/>
    </xf>
    <xf numFmtId="4" fontId="39" fillId="14" borderId="52" xfId="3" applyNumberFormat="1" applyFont="1" applyFill="1" applyBorder="1" applyAlignment="1" applyProtection="1">
      <alignment horizontal="center" vertical="center"/>
      <protection hidden="1"/>
    </xf>
    <xf numFmtId="4" fontId="39" fillId="14" borderId="53" xfId="3" applyNumberFormat="1" applyFont="1" applyFill="1" applyBorder="1" applyAlignment="1" applyProtection="1">
      <alignment horizontal="center" vertical="center"/>
      <protection hidden="1"/>
    </xf>
    <xf numFmtId="4" fontId="39" fillId="14" borderId="54" xfId="3" applyNumberFormat="1" applyFont="1" applyFill="1" applyBorder="1" applyAlignment="1" applyProtection="1">
      <alignment horizontal="center" vertical="center"/>
      <protection hidden="1"/>
    </xf>
    <xf numFmtId="4" fontId="39" fillId="14" borderId="55" xfId="3" applyNumberFormat="1" applyFont="1" applyFill="1" applyBorder="1" applyAlignment="1" applyProtection="1">
      <alignment horizontal="center" vertical="center"/>
      <protection hidden="1"/>
    </xf>
    <xf numFmtId="1" fontId="39" fillId="7" borderId="0" xfId="1" applyNumberFormat="1" applyFont="1" applyBorder="1" applyAlignment="1" applyProtection="1">
      <alignment horizontal="center" vertical="center"/>
      <protection hidden="1"/>
    </xf>
    <xf numFmtId="164" fontId="49" fillId="13" borderId="64" xfId="5" applyNumberFormat="1" applyFont="1" applyFill="1" applyBorder="1" applyAlignment="1" applyProtection="1">
      <alignment horizontal="center" vertical="center"/>
      <protection hidden="1"/>
    </xf>
    <xf numFmtId="0" fontId="39" fillId="14" borderId="23" xfId="3" applyFont="1" applyFill="1" applyBorder="1" applyAlignment="1" applyProtection="1">
      <alignment horizontal="center" vertical="center"/>
      <protection hidden="1"/>
    </xf>
    <xf numFmtId="4" fontId="39" fillId="14" borderId="22" xfId="3" applyNumberFormat="1" applyFont="1" applyFill="1" applyBorder="1" applyAlignment="1" applyProtection="1">
      <alignment horizontal="center" vertical="center"/>
      <protection hidden="1"/>
    </xf>
    <xf numFmtId="1" fontId="39" fillId="14" borderId="22" xfId="3" applyNumberFormat="1" applyFont="1" applyFill="1" applyBorder="1" applyAlignment="1" applyProtection="1">
      <alignment horizontal="center" vertical="center"/>
      <protection hidden="1"/>
    </xf>
    <xf numFmtId="2" fontId="39" fillId="14" borderId="22" xfId="3" applyNumberFormat="1" applyFont="1" applyFill="1" applyBorder="1" applyAlignment="1" applyProtection="1">
      <alignment horizontal="center" vertical="center"/>
      <protection hidden="1"/>
    </xf>
    <xf numFmtId="3" fontId="41" fillId="13" borderId="0" xfId="5" applyNumberFormat="1" applyFont="1" applyFill="1" applyBorder="1" applyAlignment="1" applyProtection="1">
      <alignment horizontal="center" vertical="center"/>
      <protection hidden="1"/>
    </xf>
    <xf numFmtId="165" fontId="39" fillId="7" borderId="0" xfId="1" applyNumberFormat="1" applyFont="1" applyBorder="1" applyAlignment="1" applyProtection="1">
      <alignment horizontal="center" vertical="center"/>
      <protection hidden="1"/>
    </xf>
    <xf numFmtId="0" fontId="55" fillId="7" borderId="69" xfId="1" applyFont="1" applyBorder="1" applyAlignment="1">
      <alignment horizontal="center" vertical="center" wrapText="1"/>
    </xf>
    <xf numFmtId="0" fontId="55" fillId="7" borderId="70" xfId="1" applyFont="1" applyBorder="1" applyAlignment="1">
      <alignment horizontal="center" vertical="center" wrapText="1"/>
    </xf>
    <xf numFmtId="0" fontId="56" fillId="13" borderId="73" xfId="5" applyFont="1" applyFill="1" applyBorder="1" applyAlignment="1">
      <alignment horizontal="center" vertical="center" wrapText="1"/>
    </xf>
    <xf numFmtId="0" fontId="0" fillId="15" borderId="0" xfId="0" applyFill="1"/>
    <xf numFmtId="0" fontId="15" fillId="15" borderId="0" xfId="0" applyFont="1" applyFill="1" applyBorder="1" applyAlignment="1">
      <alignment horizontal="right"/>
    </xf>
    <xf numFmtId="0" fontId="0" fillId="15" borderId="0" xfId="0" applyFill="1" applyBorder="1"/>
    <xf numFmtId="164" fontId="0" fillId="15" borderId="0" xfId="0" applyNumberFormat="1" applyFill="1"/>
    <xf numFmtId="0" fontId="0" fillId="15" borderId="0" xfId="0" applyFill="1" applyAlignment="1"/>
    <xf numFmtId="0" fontId="0" fillId="15" borderId="0" xfId="0" applyFill="1" applyBorder="1" applyAlignment="1"/>
    <xf numFmtId="14" fontId="19" fillId="15" borderId="0" xfId="0" applyNumberFormat="1" applyFont="1" applyFill="1" applyBorder="1" applyAlignment="1" applyProtection="1"/>
    <xf numFmtId="3" fontId="39" fillId="14" borderId="51" xfId="3" applyNumberFormat="1" applyFont="1" applyFill="1" applyBorder="1" applyAlignment="1" applyProtection="1">
      <alignment horizontal="center" vertical="center"/>
      <protection hidden="1"/>
    </xf>
    <xf numFmtId="3" fontId="39" fillId="7" borderId="0" xfId="1" applyNumberFormat="1" applyFont="1" applyBorder="1" applyAlignment="1" applyProtection="1">
      <alignment horizontal="center" vertical="center"/>
      <protection hidden="1"/>
    </xf>
    <xf numFmtId="0" fontId="52" fillId="14" borderId="0" xfId="0" applyFont="1" applyFill="1" applyBorder="1" applyAlignment="1"/>
    <xf numFmtId="0" fontId="52" fillId="14" borderId="0" xfId="0" applyFont="1" applyFill="1" applyBorder="1" applyAlignment="1">
      <alignment horizontal="center"/>
    </xf>
    <xf numFmtId="0" fontId="0" fillId="15" borderId="85" xfId="0" applyFill="1" applyBorder="1"/>
    <xf numFmtId="4" fontId="41" fillId="13" borderId="0" xfId="5" applyNumberFormat="1" applyFont="1" applyFill="1" applyBorder="1" applyAlignment="1" applyProtection="1">
      <alignment horizontal="center" vertical="center"/>
      <protection hidden="1"/>
    </xf>
    <xf numFmtId="0" fontId="61" fillId="15" borderId="0" xfId="0" applyFont="1" applyFill="1" applyBorder="1" applyAlignment="1"/>
    <xf numFmtId="0" fontId="11" fillId="15" borderId="0" xfId="0" applyFont="1" applyFill="1" applyBorder="1" applyAlignment="1"/>
    <xf numFmtId="0" fontId="0" fillId="15" borderId="0" xfId="0" applyFill="1" applyBorder="1" applyAlignment="1">
      <alignment horizontal="right"/>
    </xf>
    <xf numFmtId="0" fontId="33" fillId="15" borderId="0" xfId="0" applyFont="1" applyFill="1" applyBorder="1"/>
    <xf numFmtId="0" fontId="28" fillId="15" borderId="0" xfId="0" applyFont="1" applyFill="1" applyBorder="1"/>
    <xf numFmtId="0" fontId="0" fillId="15" borderId="89" xfId="0" applyFill="1" applyBorder="1"/>
    <xf numFmtId="0" fontId="53" fillId="14" borderId="0" xfId="0" applyFont="1" applyFill="1" applyBorder="1" applyAlignment="1"/>
    <xf numFmtId="0" fontId="55" fillId="7" borderId="97" xfId="1" applyFont="1" applyBorder="1" applyAlignment="1">
      <alignment horizontal="center" vertical="center" wrapText="1"/>
    </xf>
    <xf numFmtId="0" fontId="55" fillId="7" borderId="99" xfId="1" applyFont="1" applyBorder="1" applyAlignment="1">
      <alignment horizontal="center" vertical="center" wrapText="1"/>
    </xf>
    <xf numFmtId="0" fontId="55" fillId="7" borderId="100" xfId="1" applyFont="1" applyBorder="1" applyAlignment="1">
      <alignment horizontal="center" vertical="center" wrapText="1"/>
    </xf>
    <xf numFmtId="4" fontId="41" fillId="13" borderId="83" xfId="5" applyNumberFormat="1" applyFont="1" applyFill="1" applyBorder="1" applyAlignment="1" applyProtection="1">
      <alignment horizontal="center" vertical="center"/>
      <protection hidden="1"/>
    </xf>
    <xf numFmtId="0" fontId="40" fillId="13" borderId="81" xfId="0" applyFont="1" applyFill="1" applyBorder="1" applyAlignment="1">
      <alignment horizontal="center" vertical="center"/>
    </xf>
    <xf numFmtId="0" fontId="55" fillId="7" borderId="98" xfId="1" applyFont="1" applyBorder="1" applyAlignment="1">
      <alignment horizontal="center" vertical="center" wrapText="1"/>
    </xf>
    <xf numFmtId="0" fontId="0" fillId="15" borderId="89" xfId="0" applyFill="1" applyBorder="1" applyAlignment="1">
      <alignment horizontal="center"/>
    </xf>
    <xf numFmtId="0" fontId="56" fillId="13" borderId="101" xfId="0" applyFont="1" applyFill="1" applyBorder="1" applyAlignment="1">
      <alignment horizontal="center" vertical="center" wrapText="1"/>
    </xf>
    <xf numFmtId="0" fontId="56" fillId="13" borderId="102" xfId="5" applyFont="1" applyFill="1" applyBorder="1" applyAlignment="1">
      <alignment horizontal="center" vertical="center" wrapText="1"/>
    </xf>
    <xf numFmtId="0" fontId="55" fillId="7" borderId="103" xfId="1" applyFont="1" applyBorder="1" applyAlignment="1">
      <alignment horizontal="center" vertical="center" wrapText="1"/>
    </xf>
    <xf numFmtId="0" fontId="0" fillId="15" borderId="0" xfId="0" quotePrefix="1" applyFill="1" applyBorder="1" applyAlignment="1"/>
    <xf numFmtId="0" fontId="63" fillId="15" borderId="0" xfId="0" applyFont="1" applyFill="1" applyBorder="1" applyAlignment="1"/>
    <xf numFmtId="0" fontId="52" fillId="15" borderId="0" xfId="0" applyFont="1" applyFill="1" applyBorder="1" applyAlignment="1"/>
    <xf numFmtId="0" fontId="55" fillId="7" borderId="104" xfId="1" applyFont="1" applyBorder="1" applyAlignment="1">
      <alignment horizontal="center" vertical="center" wrapText="1"/>
    </xf>
    <xf numFmtId="0" fontId="55" fillId="7" borderId="105" xfId="1" applyFont="1" applyBorder="1" applyAlignment="1">
      <alignment horizontal="center" vertical="center" wrapText="1"/>
    </xf>
    <xf numFmtId="0" fontId="56" fillId="13" borderId="106" xfId="0" applyFont="1" applyFill="1" applyBorder="1" applyAlignment="1">
      <alignment horizontal="center" vertical="center" wrapText="1"/>
    </xf>
    <xf numFmtId="0" fontId="58" fillId="12" borderId="0" xfId="6" applyFont="1" applyBorder="1" applyAlignment="1">
      <alignment vertical="center"/>
    </xf>
    <xf numFmtId="0" fontId="58" fillId="15" borderId="0" xfId="6" applyFont="1" applyFill="1" applyBorder="1" applyAlignment="1">
      <alignment vertical="center"/>
    </xf>
    <xf numFmtId="0" fontId="10" fillId="15" borderId="0" xfId="0" applyFont="1" applyFill="1" applyBorder="1"/>
    <xf numFmtId="0" fontId="56" fillId="13" borderId="115" xfId="5" applyFont="1" applyFill="1" applyBorder="1" applyAlignment="1">
      <alignment horizontal="center" vertical="center" wrapText="1"/>
    </xf>
    <xf numFmtId="0" fontId="31" fillId="4" borderId="145" xfId="0" applyFont="1" applyFill="1" applyBorder="1" applyAlignment="1" applyProtection="1">
      <alignment horizontal="center" vertical="center"/>
      <protection hidden="1"/>
    </xf>
    <xf numFmtId="0" fontId="31" fillId="4" borderId="143" xfId="0" applyFont="1" applyFill="1" applyBorder="1" applyAlignment="1" applyProtection="1">
      <alignment horizontal="center" vertical="center"/>
      <protection hidden="1"/>
    </xf>
    <xf numFmtId="165" fontId="31" fillId="4" borderId="145" xfId="0" applyNumberFormat="1" applyFont="1" applyFill="1" applyBorder="1" applyAlignment="1" applyProtection="1">
      <alignment horizontal="center" vertical="center"/>
      <protection hidden="1"/>
    </xf>
    <xf numFmtId="165" fontId="31" fillId="4" borderId="143" xfId="0" applyNumberFormat="1" applyFont="1" applyFill="1" applyBorder="1" applyAlignment="1" applyProtection="1">
      <alignment horizontal="center" vertical="center"/>
      <protection hidden="1"/>
    </xf>
    <xf numFmtId="2" fontId="31" fillId="4" borderId="147" xfId="0" applyNumberFormat="1" applyFont="1" applyFill="1" applyBorder="1" applyAlignment="1" applyProtection="1">
      <alignment horizontal="center" vertical="center"/>
      <protection hidden="1"/>
    </xf>
    <xf numFmtId="2" fontId="31" fillId="4" borderId="148" xfId="0" applyNumberFormat="1" applyFont="1" applyFill="1" applyBorder="1" applyAlignment="1" applyProtection="1">
      <alignment horizontal="center" vertical="center"/>
      <protection hidden="1"/>
    </xf>
    <xf numFmtId="0" fontId="0" fillId="0" borderId="10" xfId="0" applyBorder="1" applyProtection="1">
      <protection hidden="1"/>
    </xf>
    <xf numFmtId="0" fontId="23" fillId="0" borderId="10" xfId="7" applyFont="1" applyFill="1" applyBorder="1" applyAlignment="1" applyProtection="1">
      <alignment horizontal="center"/>
      <protection hidden="1"/>
    </xf>
    <xf numFmtId="0" fontId="67" fillId="15" borderId="0" xfId="0" applyFont="1" applyFill="1" applyBorder="1"/>
    <xf numFmtId="0" fontId="41" fillId="15" borderId="0" xfId="2" applyFont="1" applyFill="1" applyBorder="1" applyAlignment="1">
      <alignment vertical="center"/>
    </xf>
    <xf numFmtId="2" fontId="46" fillId="21" borderId="0" xfId="5" applyNumberFormat="1" applyFont="1" applyFill="1" applyBorder="1" applyAlignment="1" applyProtection="1">
      <alignment horizontal="center" vertical="center"/>
      <protection hidden="1"/>
    </xf>
    <xf numFmtId="2" fontId="47" fillId="21" borderId="0" xfId="5" applyNumberFormat="1" applyFont="1" applyFill="1" applyBorder="1" applyAlignment="1" applyProtection="1">
      <alignment horizontal="center" vertical="center"/>
      <protection hidden="1"/>
    </xf>
    <xf numFmtId="0" fontId="56" fillId="13" borderId="0" xfId="0" applyFont="1" applyFill="1" applyBorder="1" applyAlignment="1">
      <alignment horizontal="center" vertical="center" wrapText="1"/>
    </xf>
    <xf numFmtId="0" fontId="0" fillId="0" borderId="1" xfId="0" applyBorder="1" applyProtection="1">
      <protection hidden="1"/>
    </xf>
    <xf numFmtId="0" fontId="0" fillId="0" borderId="14" xfId="0" applyBorder="1" applyProtection="1">
      <protection hidden="1"/>
    </xf>
    <xf numFmtId="0" fontId="0" fillId="15" borderId="0" xfId="0" applyFill="1" applyBorder="1" applyAlignment="1">
      <alignment horizontal="center"/>
    </xf>
    <xf numFmtId="0" fontId="40" fillId="13" borderId="0" xfId="0" applyFont="1" applyFill="1" applyBorder="1" applyAlignment="1">
      <alignment horizontal="center" vertical="center"/>
    </xf>
    <xf numFmtId="0" fontId="40" fillId="13" borderId="79" xfId="0" applyFont="1" applyFill="1" applyBorder="1" applyAlignment="1">
      <alignment horizontal="center" vertical="center"/>
    </xf>
    <xf numFmtId="1" fontId="39" fillId="7" borderId="0" xfId="1" applyNumberFormat="1" applyFont="1" applyBorder="1" applyAlignment="1" applyProtection="1">
      <alignment horizontal="center" vertical="center" wrapText="1"/>
      <protection hidden="1"/>
    </xf>
    <xf numFmtId="0" fontId="0" fillId="15" borderId="157" xfId="0" applyFill="1" applyBorder="1" applyAlignment="1"/>
    <xf numFmtId="0" fontId="0" fillId="15" borderId="158" xfId="0" applyFill="1" applyBorder="1" applyAlignment="1"/>
    <xf numFmtId="0" fontId="0" fillId="15" borderId="159" xfId="0" applyFill="1" applyBorder="1"/>
    <xf numFmtId="0" fontId="0" fillId="15" borderId="160" xfId="0" applyFill="1" applyBorder="1" applyAlignment="1"/>
    <xf numFmtId="0" fontId="0" fillId="15" borderId="161" xfId="0" applyFill="1" applyBorder="1"/>
    <xf numFmtId="14" fontId="19" fillId="15" borderId="161" xfId="0" applyNumberFormat="1" applyFont="1" applyFill="1" applyBorder="1" applyAlignment="1" applyProtection="1"/>
    <xf numFmtId="0" fontId="0" fillId="15" borderId="160" xfId="0" applyFill="1" applyBorder="1"/>
    <xf numFmtId="0" fontId="0" fillId="15" borderId="162" xfId="0" applyFill="1" applyBorder="1"/>
    <xf numFmtId="0" fontId="0" fillId="15" borderId="163" xfId="0" applyFill="1" applyBorder="1"/>
    <xf numFmtId="0" fontId="0" fillId="15" borderId="164" xfId="0" applyFill="1" applyBorder="1"/>
    <xf numFmtId="0" fontId="13" fillId="0" borderId="6" xfId="7" applyFont="1" applyBorder="1" applyAlignment="1" applyProtection="1">
      <alignment horizontal="center" vertical="center"/>
      <protection hidden="1"/>
    </xf>
    <xf numFmtId="0" fontId="13" fillId="0" borderId="7" xfId="7" quotePrefix="1" applyFont="1" applyBorder="1" applyAlignment="1" applyProtection="1">
      <alignment horizontal="center" vertical="center"/>
      <protection hidden="1"/>
    </xf>
    <xf numFmtId="0" fontId="13" fillId="0" borderId="8" xfId="7" quotePrefix="1" applyFont="1" applyBorder="1" applyAlignment="1" applyProtection="1">
      <alignment horizontal="center" vertical="center"/>
      <protection hidden="1"/>
    </xf>
    <xf numFmtId="0" fontId="54" fillId="26" borderId="68" xfId="0" applyFont="1" applyFill="1" applyBorder="1" applyAlignment="1">
      <alignment horizontal="center" vertical="center" wrapText="1"/>
    </xf>
    <xf numFmtId="14" fontId="0" fillId="15" borderId="0" xfId="0" applyNumberFormat="1" applyFill="1" applyBorder="1" applyAlignment="1">
      <alignment horizontal="center"/>
    </xf>
    <xf numFmtId="0" fontId="63" fillId="15" borderId="0" xfId="0" applyFont="1" applyFill="1" applyBorder="1" applyAlignment="1">
      <alignment horizontal="left" vertical="center"/>
    </xf>
    <xf numFmtId="0" fontId="63" fillId="15" borderId="0" xfId="0" applyFont="1" applyFill="1" applyBorder="1" applyAlignment="1">
      <alignment vertical="center"/>
    </xf>
    <xf numFmtId="0" fontId="64" fillId="15" borderId="0" xfId="0" applyFont="1" applyFill="1" applyBorder="1" applyAlignment="1"/>
    <xf numFmtId="0" fontId="68" fillId="15" borderId="0" xfId="0" applyFont="1" applyFill="1" applyBorder="1" applyAlignment="1"/>
    <xf numFmtId="0" fontId="54" fillId="26" borderId="114" xfId="0" applyFont="1" applyFill="1" applyBorder="1" applyAlignment="1">
      <alignment horizontal="center" vertical="center" wrapText="1"/>
    </xf>
    <xf numFmtId="4" fontId="71" fillId="13" borderId="26" xfId="5" applyNumberFormat="1" applyFont="1" applyFill="1" applyBorder="1" applyAlignment="1" applyProtection="1">
      <alignment horizontal="center" vertical="center"/>
      <protection hidden="1"/>
    </xf>
    <xf numFmtId="164" fontId="74" fillId="27" borderId="0" xfId="5" applyNumberFormat="1" applyFont="1" applyFill="1" applyBorder="1" applyAlignment="1" applyProtection="1">
      <alignment horizontal="center" vertical="center"/>
      <protection hidden="1"/>
    </xf>
    <xf numFmtId="2" fontId="74" fillId="27" borderId="0" xfId="5" applyNumberFormat="1" applyFont="1" applyFill="1" applyBorder="1" applyAlignment="1" applyProtection="1">
      <alignment horizontal="center" vertical="center"/>
      <protection hidden="1"/>
    </xf>
    <xf numFmtId="164" fontId="48" fillId="27" borderId="0" xfId="5" applyNumberFormat="1" applyFont="1" applyFill="1" applyBorder="1" applyAlignment="1" applyProtection="1">
      <alignment horizontal="center" vertical="center"/>
      <protection hidden="1"/>
    </xf>
    <xf numFmtId="2" fontId="48" fillId="27" borderId="0" xfId="5" applyNumberFormat="1" applyFont="1" applyFill="1" applyBorder="1" applyAlignment="1" applyProtection="1">
      <alignment horizontal="center" vertical="center"/>
      <protection hidden="1"/>
    </xf>
    <xf numFmtId="164" fontId="47" fillId="27" borderId="0" xfId="5" applyNumberFormat="1" applyFont="1" applyFill="1" applyBorder="1" applyAlignment="1" applyProtection="1">
      <alignment horizontal="center" vertical="center"/>
      <protection hidden="1"/>
    </xf>
    <xf numFmtId="2" fontId="47" fillId="27" borderId="0" xfId="5" applyNumberFormat="1" applyFont="1" applyFill="1" applyBorder="1" applyAlignment="1" applyProtection="1">
      <alignment horizontal="center" vertical="center"/>
      <protection hidden="1"/>
    </xf>
    <xf numFmtId="164" fontId="49" fillId="27" borderId="0" xfId="5" applyNumberFormat="1" applyFont="1" applyFill="1" applyBorder="1" applyAlignment="1" applyProtection="1">
      <alignment horizontal="center" vertical="center"/>
      <protection hidden="1"/>
    </xf>
    <xf numFmtId="2" fontId="49" fillId="27" borderId="0" xfId="5" applyNumberFormat="1" applyFont="1" applyFill="1" applyBorder="1" applyAlignment="1" applyProtection="1">
      <alignment horizontal="center" vertical="center"/>
      <protection hidden="1"/>
    </xf>
    <xf numFmtId="0" fontId="55" fillId="13" borderId="99" xfId="1" applyFont="1" applyFill="1" applyBorder="1" applyAlignment="1">
      <alignment horizontal="center" vertical="center" wrapText="1"/>
    </xf>
    <xf numFmtId="0" fontId="55" fillId="14" borderId="99" xfId="1" applyFont="1" applyFill="1" applyBorder="1" applyAlignment="1">
      <alignment horizontal="center" vertical="center" wrapText="1"/>
    </xf>
    <xf numFmtId="0" fontId="0" fillId="15" borderId="158" xfId="0" applyFill="1" applyBorder="1"/>
    <xf numFmtId="0" fontId="58" fillId="15" borderId="0" xfId="6" applyFont="1" applyFill="1" applyBorder="1" applyAlignment="1">
      <alignment horizontal="center" vertical="center"/>
    </xf>
    <xf numFmtId="0" fontId="77" fillId="15" borderId="0" xfId="0" applyFont="1" applyFill="1" applyBorder="1"/>
    <xf numFmtId="2" fontId="79" fillId="15" borderId="0" xfId="4" applyNumberFormat="1" applyFont="1" applyFill="1" applyBorder="1" applyAlignment="1" applyProtection="1">
      <alignment horizontal="center"/>
      <protection hidden="1"/>
    </xf>
    <xf numFmtId="164" fontId="79" fillId="15" borderId="0" xfId="4" applyNumberFormat="1" applyFont="1" applyFill="1" applyBorder="1" applyAlignment="1" applyProtection="1">
      <alignment horizontal="center"/>
      <protection hidden="1"/>
    </xf>
    <xf numFmtId="164" fontId="80" fillId="15" borderId="0" xfId="0" applyNumberFormat="1" applyFont="1" applyFill="1" applyBorder="1" applyAlignment="1" applyProtection="1">
      <alignment horizontal="center"/>
      <protection hidden="1"/>
    </xf>
    <xf numFmtId="0" fontId="0" fillId="15" borderId="159" xfId="0" applyFill="1" applyBorder="1" applyAlignment="1"/>
    <xf numFmtId="0" fontId="0" fillId="15" borderId="161" xfId="0" applyFill="1" applyBorder="1" applyAlignment="1"/>
    <xf numFmtId="0" fontId="57" fillId="15" borderId="161" xfId="6" applyFont="1" applyFill="1" applyBorder="1" applyAlignment="1">
      <alignment vertical="center"/>
    </xf>
    <xf numFmtId="0" fontId="0" fillId="15" borderId="160" xfId="0" applyFill="1" applyBorder="1" applyProtection="1">
      <protection locked="0"/>
    </xf>
    <xf numFmtId="0" fontId="0" fillId="15" borderId="0" xfId="0" applyFill="1" applyBorder="1" applyProtection="1">
      <protection locked="0"/>
    </xf>
    <xf numFmtId="0" fontId="0" fillId="15" borderId="161" xfId="0" applyFill="1" applyBorder="1" applyProtection="1">
      <protection locked="0"/>
    </xf>
    <xf numFmtId="0" fontId="11" fillId="15" borderId="0" xfId="0" applyFont="1" applyFill="1" applyBorder="1" applyProtection="1">
      <protection locked="0"/>
    </xf>
    <xf numFmtId="0" fontId="41" fillId="22" borderId="0" xfId="2" applyFont="1" applyFill="1" applyBorder="1" applyAlignment="1" applyProtection="1">
      <alignment horizontal="right" vertical="center"/>
      <protection locked="0"/>
    </xf>
    <xf numFmtId="0" fontId="67" fillId="15" borderId="0" xfId="0" applyFont="1" applyFill="1" applyBorder="1" applyProtection="1">
      <protection locked="0"/>
    </xf>
    <xf numFmtId="164" fontId="0" fillId="15" borderId="0" xfId="0" applyNumberFormat="1" applyFill="1" applyBorder="1" applyProtection="1">
      <protection locked="0"/>
    </xf>
    <xf numFmtId="164" fontId="0" fillId="15" borderId="161" xfId="0" applyNumberFormat="1" applyFill="1" applyBorder="1" applyProtection="1">
      <protection locked="0"/>
    </xf>
    <xf numFmtId="0" fontId="58" fillId="15" borderId="0" xfId="6" applyFont="1" applyFill="1" applyBorder="1" applyAlignment="1" applyProtection="1">
      <alignment horizontal="center" vertical="center"/>
      <protection locked="0"/>
    </xf>
    <xf numFmtId="0" fontId="39" fillId="7" borderId="129" xfId="1" applyFont="1" applyBorder="1" applyAlignment="1" applyProtection="1">
      <alignment horizontal="center" vertical="center" wrapText="1"/>
      <protection locked="0"/>
    </xf>
    <xf numFmtId="0" fontId="39" fillId="7" borderId="130" xfId="1" applyFont="1" applyBorder="1" applyAlignment="1" applyProtection="1">
      <alignment horizontal="center" vertical="center" wrapText="1"/>
      <protection locked="0"/>
    </xf>
    <xf numFmtId="0" fontId="59" fillId="26" borderId="131"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wrapText="1"/>
      <protection locked="0"/>
    </xf>
    <xf numFmtId="0" fontId="54" fillId="26" borderId="134" xfId="1" applyFont="1" applyFill="1" applyBorder="1" applyAlignment="1" applyProtection="1">
      <alignment horizontal="center" vertical="center" wrapText="1"/>
      <protection locked="0"/>
    </xf>
    <xf numFmtId="0" fontId="54" fillId="26" borderId="72" xfId="1" applyFont="1" applyFill="1" applyBorder="1" applyAlignment="1" applyProtection="1">
      <alignment horizontal="center" vertical="center" wrapText="1"/>
      <protection locked="0"/>
    </xf>
    <xf numFmtId="0" fontId="36" fillId="26" borderId="130" xfId="1" applyFont="1" applyFill="1" applyBorder="1" applyAlignment="1" applyProtection="1">
      <alignment horizontal="center" vertical="center" wrapText="1"/>
      <protection locked="0"/>
    </xf>
    <xf numFmtId="0" fontId="36" fillId="26" borderId="135" xfId="1" applyFont="1" applyFill="1" applyBorder="1" applyAlignment="1" applyProtection="1">
      <alignment horizontal="center" vertical="center" wrapText="1"/>
      <protection locked="0"/>
    </xf>
    <xf numFmtId="0" fontId="12" fillId="15" borderId="161" xfId="0" applyFont="1" applyFill="1" applyBorder="1" applyAlignment="1" applyProtection="1">
      <alignment horizontal="center" wrapText="1"/>
      <protection locked="0"/>
    </xf>
    <xf numFmtId="0" fontId="40" fillId="13" borderId="0" xfId="1" applyFont="1" applyFill="1" applyBorder="1" applyAlignment="1" applyProtection="1">
      <alignment horizontal="center" vertical="center"/>
      <protection locked="0"/>
    </xf>
    <xf numFmtId="2" fontId="34" fillId="22" borderId="132" xfId="4" applyNumberFormat="1" applyFill="1" applyBorder="1" applyAlignment="1" applyProtection="1">
      <alignment horizontal="center" vertical="center"/>
      <protection locked="0"/>
    </xf>
    <xf numFmtId="166" fontId="0" fillId="15" borderId="161" xfId="0" applyNumberFormat="1" applyFill="1" applyBorder="1" applyProtection="1">
      <protection locked="0"/>
    </xf>
    <xf numFmtId="164" fontId="31" fillId="3" borderId="24" xfId="0" applyNumberFormat="1" applyFont="1" applyFill="1" applyBorder="1" applyAlignment="1" applyProtection="1">
      <alignment horizontal="center" vertical="center"/>
      <protection locked="0"/>
    </xf>
    <xf numFmtId="0" fontId="0" fillId="15" borderId="162" xfId="0" applyFill="1" applyBorder="1" applyProtection="1">
      <protection locked="0"/>
    </xf>
    <xf numFmtId="0" fontId="0" fillId="15" borderId="163" xfId="0" applyFill="1" applyBorder="1" applyProtection="1">
      <protection locked="0"/>
    </xf>
    <xf numFmtId="0" fontId="12" fillId="15" borderId="163" xfId="0" applyFont="1" applyFill="1" applyBorder="1" applyProtection="1">
      <protection locked="0"/>
    </xf>
    <xf numFmtId="164" fontId="0" fillId="15" borderId="163" xfId="0" applyNumberFormat="1" applyFill="1" applyBorder="1" applyProtection="1">
      <protection locked="0"/>
    </xf>
    <xf numFmtId="0" fontId="0" fillId="15" borderId="164" xfId="0" applyFill="1" applyBorder="1" applyProtection="1">
      <protection locked="0"/>
    </xf>
    <xf numFmtId="0" fontId="67" fillId="15" borderId="0" xfId="0" applyFont="1" applyFill="1" applyBorder="1" applyProtection="1"/>
    <xf numFmtId="2" fontId="0" fillId="0" borderId="0" xfId="0" applyNumberFormat="1" applyBorder="1" applyAlignment="1" applyProtection="1">
      <alignment horizontal="center"/>
    </xf>
    <xf numFmtId="0" fontId="41" fillId="22" borderId="0" xfId="2" applyFont="1" applyFill="1" applyBorder="1" applyAlignment="1" applyProtection="1">
      <alignment horizontal="right" vertical="center"/>
    </xf>
    <xf numFmtId="0" fontId="0" fillId="15" borderId="157" xfId="0" applyFill="1" applyBorder="1" applyProtection="1"/>
    <xf numFmtId="0" fontId="0" fillId="15" borderId="158" xfId="0" applyFill="1" applyBorder="1" applyProtection="1"/>
    <xf numFmtId="0" fontId="0" fillId="15" borderId="159" xfId="0" applyFill="1" applyBorder="1" applyProtection="1"/>
    <xf numFmtId="0" fontId="0" fillId="15" borderId="160" xfId="0" applyFill="1" applyBorder="1" applyProtection="1"/>
    <xf numFmtId="0" fontId="0" fillId="15" borderId="0" xfId="0" applyFill="1" applyBorder="1" applyAlignment="1" applyProtection="1"/>
    <xf numFmtId="0" fontId="15" fillId="15" borderId="0" xfId="0" applyFont="1" applyFill="1" applyBorder="1" applyAlignment="1" applyProtection="1">
      <alignment horizontal="right"/>
    </xf>
    <xf numFmtId="0" fontId="0" fillId="15" borderId="0" xfId="0" applyFill="1" applyBorder="1" applyAlignment="1" applyProtection="1">
      <alignment horizontal="right"/>
    </xf>
    <xf numFmtId="0" fontId="0" fillId="15" borderId="0" xfId="0" applyFill="1" applyBorder="1" applyProtection="1"/>
    <xf numFmtId="0" fontId="0" fillId="15" borderId="161" xfId="0" applyFill="1" applyBorder="1" applyProtection="1"/>
    <xf numFmtId="0" fontId="0" fillId="15" borderId="0" xfId="0" applyFill="1" applyBorder="1" applyAlignment="1" applyProtection="1">
      <alignment horizontal="center"/>
    </xf>
    <xf numFmtId="14" fontId="0" fillId="15" borderId="0" xfId="0" applyNumberFormat="1" applyFill="1" applyBorder="1" applyAlignment="1" applyProtection="1">
      <alignment horizontal="center"/>
    </xf>
    <xf numFmtId="0" fontId="11" fillId="15" borderId="0" xfId="0" applyFont="1" applyFill="1" applyBorder="1" applyProtection="1"/>
    <xf numFmtId="0" fontId="27" fillId="15" borderId="0" xfId="0" applyFont="1" applyFill="1" applyBorder="1" applyAlignment="1" applyProtection="1">
      <alignment horizontal="right" vertical="center"/>
    </xf>
    <xf numFmtId="0" fontId="31" fillId="15" borderId="0" xfId="0" applyFont="1" applyFill="1" applyBorder="1" applyAlignment="1" applyProtection="1">
      <alignment horizontal="centerContinuous" vertical="center"/>
    </xf>
    <xf numFmtId="164" fontId="0" fillId="15" borderId="0" xfId="0" applyNumberFormat="1" applyFill="1" applyBorder="1" applyProtection="1"/>
    <xf numFmtId="165" fontId="0" fillId="15" borderId="0" xfId="0" applyNumberFormat="1" applyFill="1" applyBorder="1" applyProtection="1"/>
    <xf numFmtId="0" fontId="39" fillId="18" borderId="139" xfId="1" applyFont="1" applyFill="1" applyBorder="1" applyAlignment="1" applyProtection="1">
      <alignment horizontal="center" vertical="center" wrapText="1"/>
    </xf>
    <xf numFmtId="168" fontId="30" fillId="6" borderId="143" xfId="0" applyNumberFormat="1" applyFont="1" applyFill="1" applyBorder="1" applyAlignment="1" applyProtection="1">
      <alignment horizontal="center" vertical="center"/>
    </xf>
    <xf numFmtId="0" fontId="35" fillId="19" borderId="143" xfId="10" applyBorder="1" applyAlignment="1" applyProtection="1">
      <alignment horizontal="center" vertical="center"/>
    </xf>
    <xf numFmtId="0" fontId="66" fillId="27" borderId="138" xfId="12" applyFill="1" applyBorder="1" applyAlignment="1" applyProtection="1">
      <alignment horizontal="center"/>
    </xf>
    <xf numFmtId="164" fontId="66" fillId="27" borderId="138" xfId="12" applyNumberFormat="1" applyFill="1" applyBorder="1" applyAlignment="1" applyProtection="1">
      <alignment horizontal="center" vertical="center"/>
    </xf>
    <xf numFmtId="165" fontId="66" fillId="27" borderId="138" xfId="12" applyNumberFormat="1" applyFill="1" applyBorder="1" applyAlignment="1" applyProtection="1">
      <alignment horizontal="center" vertical="center"/>
    </xf>
    <xf numFmtId="0" fontId="7" fillId="22" borderId="116" xfId="4" applyFont="1" applyFill="1" applyBorder="1" applyAlignment="1" applyProtection="1">
      <alignment horizontal="center"/>
      <protection locked="0"/>
    </xf>
    <xf numFmtId="0" fontId="7" fillId="22" borderId="113" xfId="4" applyFont="1" applyFill="1" applyBorder="1" applyAlignment="1" applyProtection="1">
      <alignment horizontal="center"/>
      <protection locked="0"/>
    </xf>
    <xf numFmtId="0" fontId="7" fillId="22" borderId="107" xfId="4" applyFont="1" applyFill="1" applyBorder="1" applyAlignment="1" applyProtection="1">
      <alignment horizontal="center"/>
      <protection locked="0"/>
    </xf>
    <xf numFmtId="0" fontId="7" fillId="22" borderId="108" xfId="4" applyFont="1" applyFill="1" applyBorder="1" applyAlignment="1" applyProtection="1">
      <alignment horizontal="center"/>
      <protection locked="0"/>
    </xf>
    <xf numFmtId="0" fontId="7" fillId="22" borderId="109" xfId="4" applyFont="1" applyFill="1" applyBorder="1" applyAlignment="1" applyProtection="1">
      <alignment horizontal="center"/>
      <protection locked="0"/>
    </xf>
    <xf numFmtId="0" fontId="7" fillId="22" borderId="121" xfId="4" applyFont="1" applyFill="1" applyBorder="1" applyAlignment="1" applyProtection="1">
      <alignment horizontal="center"/>
      <protection locked="0"/>
    </xf>
    <xf numFmtId="0" fontId="7" fillId="22" borderId="85" xfId="4" applyFont="1" applyFill="1" applyBorder="1" applyAlignment="1" applyProtection="1">
      <alignment horizontal="center"/>
      <protection locked="0"/>
    </xf>
    <xf numFmtId="0" fontId="7" fillId="22" borderId="124" xfId="4" applyFont="1" applyFill="1" applyBorder="1" applyAlignment="1" applyProtection="1">
      <alignment horizontal="center"/>
      <protection locked="0"/>
    </xf>
    <xf numFmtId="0" fontId="7" fillId="22" borderId="117" xfId="4" applyFont="1" applyFill="1" applyBorder="1" applyAlignment="1" applyProtection="1">
      <alignment horizontal="center"/>
      <protection locked="0"/>
    </xf>
    <xf numFmtId="0" fontId="7" fillId="22" borderId="94" xfId="4" applyFont="1" applyFill="1" applyBorder="1" applyAlignment="1" applyProtection="1">
      <alignment horizontal="center"/>
      <protection locked="0"/>
    </xf>
    <xf numFmtId="0" fontId="7" fillId="22" borderId="88" xfId="4" applyFont="1" applyFill="1" applyBorder="1" applyAlignment="1" applyProtection="1">
      <alignment horizontal="center"/>
      <protection locked="0"/>
    </xf>
    <xf numFmtId="0" fontId="7" fillId="22" borderId="112" xfId="4" applyFont="1" applyFill="1" applyBorder="1" applyAlignment="1" applyProtection="1">
      <alignment horizontal="center"/>
      <protection locked="0"/>
    </xf>
    <xf numFmtId="0" fontId="7" fillId="22" borderId="111" xfId="4" applyFont="1" applyFill="1" applyBorder="1" applyAlignment="1" applyProtection="1">
      <alignment horizontal="center"/>
      <protection locked="0"/>
    </xf>
    <xf numFmtId="0" fontId="7" fillId="22" borderId="110" xfId="4" applyFont="1" applyFill="1" applyBorder="1" applyAlignment="1" applyProtection="1">
      <alignment horizontal="center"/>
      <protection locked="0"/>
    </xf>
    <xf numFmtId="0" fontId="7" fillId="22" borderId="122" xfId="4" applyFont="1" applyFill="1" applyBorder="1" applyAlignment="1" applyProtection="1">
      <alignment horizontal="center"/>
      <protection locked="0"/>
    </xf>
    <xf numFmtId="0" fontId="7" fillId="22" borderId="123" xfId="4" applyFont="1" applyFill="1" applyBorder="1" applyAlignment="1" applyProtection="1">
      <alignment horizontal="center"/>
      <protection locked="0"/>
    </xf>
    <xf numFmtId="1" fontId="7" fillId="22" borderId="89" xfId="4" applyNumberFormat="1" applyFont="1" applyFill="1" applyBorder="1" applyAlignment="1" applyProtection="1">
      <alignment horizontal="center"/>
      <protection locked="0"/>
    </xf>
    <xf numFmtId="0" fontId="7" fillId="22" borderId="125" xfId="4" applyFont="1" applyFill="1" applyBorder="1" applyAlignment="1" applyProtection="1">
      <alignment horizontal="center"/>
      <protection locked="0"/>
    </xf>
    <xf numFmtId="2" fontId="8" fillId="22" borderId="92" xfId="4" applyNumberFormat="1" applyFont="1" applyFill="1" applyBorder="1" applyAlignment="1" applyProtection="1">
      <alignment horizontal="center" vertical="center"/>
      <protection locked="0"/>
    </xf>
    <xf numFmtId="2" fontId="34" fillId="22" borderId="88" xfId="4" applyNumberFormat="1" applyFill="1" applyBorder="1" applyAlignment="1" applyProtection="1">
      <alignment horizontal="center" vertical="center"/>
      <protection locked="0"/>
    </xf>
    <xf numFmtId="1" fontId="39" fillId="22" borderId="0" xfId="1" applyNumberFormat="1" applyFont="1" applyFill="1" applyBorder="1" applyAlignment="1" applyProtection="1">
      <alignment horizontal="center" vertical="center" wrapText="1"/>
      <protection locked="0" hidden="1"/>
    </xf>
    <xf numFmtId="1" fontId="34" fillId="22" borderId="0" xfId="4" applyNumberFormat="1" applyFill="1" applyBorder="1" applyAlignment="1" applyProtection="1">
      <alignment horizontal="center" vertical="center"/>
      <protection locked="0"/>
    </xf>
    <xf numFmtId="0" fontId="41" fillId="22" borderId="83" xfId="2" applyFont="1" applyFill="1" applyBorder="1" applyAlignment="1" applyProtection="1">
      <alignment vertical="center"/>
      <protection locked="0"/>
    </xf>
    <xf numFmtId="1" fontId="5" fillId="22" borderId="140" xfId="4" applyNumberFormat="1" applyFont="1" applyFill="1" applyBorder="1" applyAlignment="1" applyProtection="1">
      <alignment horizontal="center" vertical="center"/>
      <protection locked="0"/>
    </xf>
    <xf numFmtId="1" fontId="5" fillId="22" borderId="141" xfId="4" applyNumberFormat="1" applyFont="1" applyFill="1" applyBorder="1" applyAlignment="1" applyProtection="1">
      <alignment horizontal="center" vertical="center"/>
      <protection locked="0"/>
    </xf>
    <xf numFmtId="1" fontId="39" fillId="22" borderId="95" xfId="1" applyNumberFormat="1" applyFont="1" applyFill="1" applyBorder="1" applyAlignment="1" applyProtection="1">
      <alignment horizontal="center" vertical="center"/>
      <protection locked="0" hidden="1"/>
    </xf>
    <xf numFmtId="2" fontId="39" fillId="22" borderId="89" xfId="1" applyNumberFormat="1" applyFont="1" applyFill="1" applyBorder="1" applyAlignment="1" applyProtection="1">
      <alignment horizontal="center" vertical="center"/>
      <protection locked="0" hidden="1"/>
    </xf>
    <xf numFmtId="2" fontId="3" fillId="22" borderId="92" xfId="4" applyNumberFormat="1" applyFont="1" applyFill="1" applyBorder="1" applyAlignment="1" applyProtection="1">
      <alignment horizontal="center" vertical="center"/>
      <protection locked="0"/>
    </xf>
    <xf numFmtId="2" fontId="3" fillId="22" borderId="88" xfId="4" applyNumberFormat="1" applyFont="1" applyFill="1" applyBorder="1" applyAlignment="1" applyProtection="1">
      <alignment horizontal="center" vertical="center"/>
      <protection locked="0"/>
    </xf>
    <xf numFmtId="2" fontId="34" fillId="22" borderId="87" xfId="4" applyNumberFormat="1" applyFill="1" applyBorder="1" applyAlignment="1" applyProtection="1">
      <alignment horizontal="center" vertical="center"/>
      <protection locked="0"/>
    </xf>
    <xf numFmtId="0" fontId="41" fillId="22" borderId="0" xfId="2" applyFont="1" applyFill="1" applyBorder="1" applyAlignment="1" applyProtection="1">
      <alignment horizontal="center" vertical="center"/>
      <protection locked="0"/>
    </xf>
    <xf numFmtId="0" fontId="72" fillId="22" borderId="0" xfId="2" applyFont="1" applyFill="1" applyBorder="1" applyAlignment="1" applyProtection="1">
      <alignment horizontal="right" vertical="center"/>
      <protection locked="0"/>
    </xf>
    <xf numFmtId="0" fontId="0" fillId="15" borderId="0" xfId="0" applyFill="1" applyProtection="1"/>
    <xf numFmtId="0" fontId="0" fillId="15" borderId="157" xfId="0" applyFill="1" applyBorder="1" applyAlignment="1" applyProtection="1"/>
    <xf numFmtId="0" fontId="0" fillId="15" borderId="158" xfId="0" applyFill="1" applyBorder="1" applyAlignment="1" applyProtection="1"/>
    <xf numFmtId="0" fontId="0" fillId="15" borderId="159" xfId="0" applyFill="1" applyBorder="1" applyAlignment="1" applyProtection="1"/>
    <xf numFmtId="0" fontId="0" fillId="15" borderId="160" xfId="0" applyFill="1" applyBorder="1" applyAlignment="1" applyProtection="1"/>
    <xf numFmtId="22" fontId="18" fillId="15" borderId="0" xfId="0" applyNumberFormat="1" applyFont="1" applyFill="1" applyBorder="1" applyAlignment="1" applyProtection="1"/>
    <xf numFmtId="22" fontId="18" fillId="15" borderId="161" xfId="0" applyNumberFormat="1" applyFont="1" applyFill="1" applyBorder="1" applyAlignment="1" applyProtection="1"/>
    <xf numFmtId="0" fontId="15" fillId="15" borderId="0" xfId="0" applyFont="1" applyFill="1" applyBorder="1" applyAlignment="1" applyProtection="1">
      <alignment horizontal="left"/>
    </xf>
    <xf numFmtId="0" fontId="14" fillId="15" borderId="0" xfId="0" applyFont="1" applyFill="1" applyBorder="1" applyProtection="1"/>
    <xf numFmtId="0" fontId="61" fillId="15" borderId="0" xfId="0" applyFont="1" applyFill="1" applyBorder="1" applyProtection="1"/>
    <xf numFmtId="0" fontId="58" fillId="15" borderId="81" xfId="6" applyFont="1" applyFill="1" applyBorder="1" applyAlignment="1" applyProtection="1">
      <alignment vertical="center" wrapText="1"/>
    </xf>
    <xf numFmtId="0" fontId="40" fillId="13" borderId="79" xfId="0" applyFont="1" applyFill="1" applyBorder="1" applyAlignment="1" applyProtection="1">
      <alignment horizontal="center" vertical="center"/>
    </xf>
    <xf numFmtId="0" fontId="0" fillId="15" borderId="85" xfId="0" applyFill="1" applyBorder="1" applyProtection="1"/>
    <xf numFmtId="0" fontId="40" fillId="13" borderId="79" xfId="0" applyFont="1" applyFill="1" applyBorder="1" applyAlignment="1" applyProtection="1">
      <alignment horizontal="center" vertical="center" wrapText="1"/>
    </xf>
    <xf numFmtId="0" fontId="40" fillId="13" borderId="89" xfId="0" applyFont="1" applyFill="1" applyBorder="1" applyAlignment="1" applyProtection="1">
      <alignment horizontal="center" vertical="center" wrapText="1"/>
    </xf>
    <xf numFmtId="0" fontId="40" fillId="13" borderId="89" xfId="0" applyFont="1" applyFill="1" applyBorder="1" applyAlignment="1" applyProtection="1">
      <alignment horizontal="center" vertical="center"/>
    </xf>
    <xf numFmtId="0" fontId="55" fillId="7" borderId="69" xfId="1" applyFont="1" applyBorder="1" applyAlignment="1" applyProtection="1">
      <alignment horizontal="center" vertical="center" wrapText="1"/>
    </xf>
    <xf numFmtId="0" fontId="54" fillId="26" borderId="68" xfId="0" applyFont="1" applyFill="1" applyBorder="1" applyAlignment="1" applyProtection="1">
      <alignment horizontal="center" vertical="center" wrapText="1"/>
    </xf>
    <xf numFmtId="0" fontId="55" fillId="7" borderId="70" xfId="1" applyFont="1" applyBorder="1" applyAlignment="1" applyProtection="1">
      <alignment horizontal="center" vertical="center" wrapText="1"/>
    </xf>
    <xf numFmtId="0" fontId="55" fillId="7" borderId="71" xfId="1" applyFont="1" applyBorder="1" applyAlignment="1" applyProtection="1">
      <alignment horizontal="center" vertical="center" wrapText="1"/>
    </xf>
    <xf numFmtId="0" fontId="55" fillId="7" borderId="86" xfId="1" applyFont="1" applyBorder="1" applyAlignment="1" applyProtection="1">
      <alignment horizontal="center" vertical="center" wrapText="1"/>
    </xf>
    <xf numFmtId="0" fontId="58" fillId="15" borderId="0" xfId="6" applyFont="1" applyFill="1" applyBorder="1" applyAlignment="1" applyProtection="1">
      <alignment horizontal="center" vertical="center"/>
    </xf>
    <xf numFmtId="0" fontId="56" fillId="13" borderId="72" xfId="0" applyFont="1" applyFill="1" applyBorder="1" applyAlignment="1" applyProtection="1">
      <alignment horizontal="center" vertical="center" wrapText="1"/>
    </xf>
    <xf numFmtId="0" fontId="56" fillId="13" borderId="73" xfId="5" applyFont="1" applyFill="1" applyBorder="1" applyAlignment="1" applyProtection="1">
      <alignment horizontal="center" vertical="center" wrapText="1"/>
    </xf>
    <xf numFmtId="0" fontId="55" fillId="7" borderId="90" xfId="1" applyFont="1" applyBorder="1" applyAlignment="1" applyProtection="1">
      <alignment horizontal="center" vertical="center" wrapText="1"/>
    </xf>
    <xf numFmtId="0" fontId="12" fillId="2" borderId="16" xfId="0" applyFont="1" applyFill="1" applyBorder="1" applyAlignment="1" applyProtection="1">
      <alignment horizontal="center" wrapText="1"/>
    </xf>
    <xf numFmtId="0" fontId="55" fillId="7" borderId="91" xfId="1" applyFont="1" applyBorder="1" applyAlignment="1" applyProtection="1">
      <alignment horizontal="center" vertical="center" wrapText="1"/>
    </xf>
    <xf numFmtId="0" fontId="0" fillId="15" borderId="162" xfId="0" applyFill="1" applyBorder="1" applyProtection="1"/>
    <xf numFmtId="0" fontId="0" fillId="15" borderId="163" xfId="0" applyFill="1" applyBorder="1" applyProtection="1"/>
    <xf numFmtId="0" fontId="0" fillId="15" borderId="164" xfId="0" applyFill="1" applyBorder="1" applyProtection="1"/>
    <xf numFmtId="0" fontId="0" fillId="15" borderId="0" xfId="0" applyFill="1" applyAlignment="1" applyProtection="1"/>
    <xf numFmtId="0" fontId="0" fillId="0" borderId="0" xfId="0" applyProtection="1"/>
    <xf numFmtId="0" fontId="16" fillId="15" borderId="0" xfId="0" applyFont="1" applyFill="1" applyBorder="1" applyAlignment="1" applyProtection="1"/>
    <xf numFmtId="0" fontId="40" fillId="13" borderId="66" xfId="0" applyFont="1" applyFill="1" applyBorder="1" applyAlignment="1" applyProtection="1">
      <alignment horizontal="center" vertical="center"/>
    </xf>
    <xf numFmtId="0" fontId="0" fillId="15" borderId="65" xfId="0" applyFill="1" applyBorder="1" applyAlignment="1" applyProtection="1">
      <alignment horizontal="left" vertical="center"/>
    </xf>
    <xf numFmtId="0" fontId="57" fillId="15" borderId="0" xfId="6" applyFont="1" applyFill="1" applyBorder="1" applyAlignment="1" applyProtection="1">
      <alignment vertical="center"/>
    </xf>
    <xf numFmtId="0" fontId="40" fillId="13" borderId="0" xfId="0" applyFont="1" applyFill="1" applyBorder="1" applyAlignment="1" applyProtection="1">
      <alignment horizontal="center" vertical="center"/>
    </xf>
    <xf numFmtId="0" fontId="0" fillId="15" borderId="0" xfId="0" applyFill="1" applyBorder="1" applyAlignment="1" applyProtection="1">
      <alignment horizontal="left" vertical="center"/>
    </xf>
    <xf numFmtId="0" fontId="40" fillId="13" borderId="0" xfId="0" applyFont="1" applyFill="1" applyBorder="1" applyAlignment="1" applyProtection="1">
      <alignment horizontal="center" vertical="center" wrapText="1"/>
    </xf>
    <xf numFmtId="0" fontId="17" fillId="15" borderId="0" xfId="0" applyFont="1" applyFill="1" applyBorder="1" applyAlignment="1" applyProtection="1">
      <alignment horizontal="left" vertical="center"/>
    </xf>
    <xf numFmtId="0" fontId="52" fillId="15" borderId="0" xfId="0" applyFont="1" applyFill="1" applyBorder="1" applyAlignment="1" applyProtection="1">
      <alignment horizontal="left" vertical="center"/>
    </xf>
    <xf numFmtId="0" fontId="57" fillId="15" borderId="0" xfId="6" applyFont="1" applyFill="1" applyBorder="1" applyAlignment="1" applyProtection="1">
      <alignment horizontal="center" vertical="center"/>
    </xf>
    <xf numFmtId="0" fontId="55" fillId="7" borderId="84" xfId="1" applyFont="1" applyBorder="1" applyAlignment="1" applyProtection="1">
      <alignment horizontal="center" vertical="center" wrapText="1"/>
    </xf>
    <xf numFmtId="0" fontId="0" fillId="15" borderId="160" xfId="0" applyFill="1" applyBorder="1" applyAlignment="1" applyProtection="1">
      <alignment horizontal="left" vertical="center"/>
    </xf>
    <xf numFmtId="0" fontId="0" fillId="15" borderId="161" xfId="0" applyFill="1" applyBorder="1" applyAlignment="1" applyProtection="1">
      <alignment horizontal="left" vertical="center"/>
    </xf>
    <xf numFmtId="0" fontId="0" fillId="15" borderId="0" xfId="0" applyFill="1" applyAlignment="1" applyProtection="1">
      <alignment horizontal="left" vertical="center"/>
    </xf>
    <xf numFmtId="0" fontId="0" fillId="15" borderId="85" xfId="0" applyFill="1" applyBorder="1" applyAlignment="1" applyProtection="1">
      <alignment horizontal="left" vertical="center"/>
    </xf>
    <xf numFmtId="10" fontId="39" fillId="7" borderId="0" xfId="1" applyNumberFormat="1" applyFont="1" applyBorder="1" applyAlignment="1" applyProtection="1">
      <alignment horizontal="center" vertical="center"/>
    </xf>
    <xf numFmtId="0" fontId="67" fillId="15" borderId="0" xfId="0" applyFont="1" applyFill="1" applyProtection="1"/>
    <xf numFmtId="167" fontId="67" fillId="15" borderId="0" xfId="0" applyNumberFormat="1" applyFont="1" applyFill="1" applyProtection="1"/>
    <xf numFmtId="2" fontId="67" fillId="15" borderId="0" xfId="0" applyNumberFormat="1" applyFont="1" applyFill="1" applyProtection="1"/>
    <xf numFmtId="0" fontId="0" fillId="15" borderId="165" xfId="0" applyFill="1" applyBorder="1" applyAlignment="1" applyProtection="1"/>
    <xf numFmtId="0" fontId="0" fillId="15" borderId="166" xfId="0" applyFill="1" applyBorder="1" applyAlignment="1" applyProtection="1"/>
    <xf numFmtId="0" fontId="0" fillId="15" borderId="167" xfId="0" applyFill="1" applyBorder="1" applyProtection="1"/>
    <xf numFmtId="0" fontId="0" fillId="15" borderId="168" xfId="0" applyFill="1" applyBorder="1" applyAlignment="1" applyProtection="1"/>
    <xf numFmtId="0" fontId="0" fillId="15" borderId="169" xfId="0" applyFill="1" applyBorder="1" applyProtection="1"/>
    <xf numFmtId="22" fontId="29" fillId="15" borderId="0" xfId="0" applyNumberFormat="1" applyFont="1" applyFill="1" applyBorder="1" applyAlignment="1" applyProtection="1"/>
    <xf numFmtId="14" fontId="18" fillId="15" borderId="0" xfId="0" applyNumberFormat="1" applyFont="1" applyFill="1" applyBorder="1" applyAlignment="1" applyProtection="1"/>
    <xf numFmtId="0" fontId="32" fillId="15" borderId="0" xfId="0" applyFont="1" applyFill="1" applyBorder="1" applyAlignment="1" applyProtection="1">
      <alignment horizontal="center" vertical="center"/>
    </xf>
    <xf numFmtId="0" fontId="58" fillId="15" borderId="0" xfId="6" applyFont="1" applyFill="1" applyBorder="1" applyAlignment="1" applyProtection="1">
      <alignment horizontal="center" vertical="center" wrapText="1"/>
    </xf>
    <xf numFmtId="0" fontId="49" fillId="15" borderId="0" xfId="1" applyFont="1" applyFill="1" applyBorder="1" applyAlignment="1" applyProtection="1">
      <alignment horizontal="right" vertical="center"/>
    </xf>
    <xf numFmtId="0" fontId="27" fillId="0" borderId="0" xfId="0" applyFont="1" applyFill="1" applyBorder="1" applyAlignment="1" applyProtection="1">
      <alignment horizontal="center" vertical="center"/>
    </xf>
    <xf numFmtId="0" fontId="27" fillId="15" borderId="0" xfId="0" applyFont="1" applyFill="1" applyBorder="1" applyAlignment="1" applyProtection="1">
      <alignment horizontal="center" vertical="center"/>
    </xf>
    <xf numFmtId="0" fontId="42" fillId="13" borderId="0" xfId="0" applyFont="1" applyFill="1" applyBorder="1" applyAlignment="1" applyProtection="1">
      <alignment horizontal="right" vertical="center"/>
    </xf>
    <xf numFmtId="0" fontId="41" fillId="15" borderId="0" xfId="1" applyFont="1" applyFill="1" applyBorder="1" applyAlignment="1" applyProtection="1">
      <alignment horizontal="right" vertical="center"/>
    </xf>
    <xf numFmtId="0" fontId="42" fillId="15" borderId="0" xfId="0" applyFont="1" applyFill="1" applyBorder="1" applyAlignment="1" applyProtection="1">
      <alignment horizontal="right" vertical="center"/>
    </xf>
    <xf numFmtId="0" fontId="38" fillId="15" borderId="0" xfId="1" applyFont="1" applyFill="1" applyBorder="1" applyAlignment="1" applyProtection="1">
      <alignment horizontal="right"/>
    </xf>
    <xf numFmtId="0" fontId="39" fillId="25" borderId="3" xfId="1" applyFont="1" applyFill="1" applyBorder="1" applyAlignment="1" applyProtection="1">
      <alignment horizontal="center" vertical="center" wrapText="1"/>
    </xf>
    <xf numFmtId="0" fontId="39" fillId="25" borderId="63" xfId="1" applyFont="1" applyFill="1" applyBorder="1" applyAlignment="1" applyProtection="1">
      <alignment horizontal="center" vertical="center" wrapText="1"/>
    </xf>
    <xf numFmtId="0" fontId="39" fillId="25" borderId="4" xfId="1" applyFont="1" applyFill="1" applyBorder="1" applyAlignment="1" applyProtection="1">
      <alignment horizontal="center" vertical="center" wrapText="1"/>
    </xf>
    <xf numFmtId="165" fontId="73" fillId="25" borderId="0" xfId="1" applyNumberFormat="1" applyFont="1" applyFill="1" applyBorder="1" applyAlignment="1" applyProtection="1">
      <alignment horizontal="center" vertical="center" wrapText="1"/>
    </xf>
    <xf numFmtId="165" fontId="39" fillId="15" borderId="0" xfId="1" applyNumberFormat="1" applyFont="1" applyFill="1" applyBorder="1" applyAlignment="1" applyProtection="1">
      <alignment horizontal="center" vertical="center" wrapText="1"/>
    </xf>
    <xf numFmtId="0" fontId="73" fillId="25" borderId="0" xfId="1" applyFont="1" applyFill="1" applyBorder="1" applyAlignment="1" applyProtection="1">
      <alignment horizontal="center" vertical="center" wrapText="1"/>
    </xf>
    <xf numFmtId="0" fontId="70" fillId="15" borderId="169" xfId="0" applyFont="1" applyFill="1" applyBorder="1" applyProtection="1"/>
    <xf numFmtId="0" fontId="40" fillId="13" borderId="0" xfId="1" applyFont="1" applyFill="1" applyBorder="1" applyAlignment="1" applyProtection="1">
      <alignment horizontal="center" vertical="center"/>
    </xf>
    <xf numFmtId="2" fontId="0" fillId="15" borderId="0" xfId="0" applyNumberFormat="1" applyFill="1" applyBorder="1" applyProtection="1"/>
    <xf numFmtId="0" fontId="73" fillId="27" borderId="0" xfId="5" applyFont="1" applyFill="1" applyBorder="1" applyAlignment="1" applyProtection="1">
      <alignment horizontal="center" vertical="center" wrapText="1"/>
    </xf>
    <xf numFmtId="0" fontId="73" fillId="27" borderId="0" xfId="5" applyFont="1" applyFill="1" applyBorder="1" applyAlignment="1" applyProtection="1">
      <alignment horizontal="center" vertical="top" wrapText="1"/>
    </xf>
    <xf numFmtId="0" fontId="39" fillId="21" borderId="0" xfId="5" applyFont="1" applyFill="1" applyBorder="1" applyAlignment="1" applyProtection="1">
      <alignment horizontal="center" vertical="top" wrapText="1"/>
    </xf>
    <xf numFmtId="0" fontId="45" fillId="27" borderId="0" xfId="5" applyFont="1" applyFill="1" applyBorder="1" applyAlignment="1" applyProtection="1">
      <alignment horizontal="center" vertical="center" wrapText="1"/>
    </xf>
    <xf numFmtId="0" fontId="44" fillId="25" borderId="0" xfId="1" applyFont="1" applyFill="1" applyBorder="1" applyAlignment="1" applyProtection="1">
      <alignment horizontal="center" vertical="center" wrapText="1"/>
    </xf>
    <xf numFmtId="0" fontId="44" fillId="15" borderId="0" xfId="1" applyFont="1" applyFill="1" applyBorder="1" applyAlignment="1" applyProtection="1">
      <alignment horizontal="center" vertical="center" wrapText="1"/>
    </xf>
    <xf numFmtId="0" fontId="40" fillId="25" borderId="0" xfId="1" applyFont="1" applyFill="1" applyBorder="1" applyAlignment="1" applyProtection="1">
      <alignment horizontal="center" vertical="center" wrapText="1"/>
    </xf>
    <xf numFmtId="0" fontId="44" fillId="27" borderId="0" xfId="5" applyFont="1" applyFill="1" applyBorder="1" applyAlignment="1" applyProtection="1">
      <alignment horizontal="center" vertical="center" wrapText="1"/>
    </xf>
    <xf numFmtId="0" fontId="44" fillId="21" borderId="0" xfId="5" applyFont="1" applyFill="1" applyBorder="1" applyAlignment="1" applyProtection="1">
      <alignment horizontal="center" vertical="center" wrapText="1"/>
    </xf>
    <xf numFmtId="0" fontId="40" fillId="27" borderId="0" xfId="5" applyFont="1" applyFill="1" applyBorder="1" applyAlignment="1" applyProtection="1">
      <alignment horizontal="center" vertical="center" wrapText="1"/>
    </xf>
    <xf numFmtId="0" fontId="36" fillId="15" borderId="0" xfId="1" applyFont="1" applyFill="1" applyBorder="1" applyAlignment="1" applyProtection="1">
      <alignment vertical="center" wrapText="1"/>
    </xf>
    <xf numFmtId="0" fontId="76" fillId="15" borderId="0" xfId="0" applyFont="1" applyFill="1" applyBorder="1" applyAlignment="1" applyProtection="1">
      <alignment horizontal="center" textRotation="255"/>
    </xf>
    <xf numFmtId="0" fontId="76" fillId="15" borderId="0" xfId="0" applyFont="1" applyFill="1" applyBorder="1" applyAlignment="1" applyProtection="1">
      <alignment horizontal="center" wrapText="1"/>
    </xf>
    <xf numFmtId="0" fontId="78" fillId="15" borderId="0" xfId="0" applyFont="1" applyFill="1" applyBorder="1" applyAlignment="1" applyProtection="1">
      <alignment horizontal="center" wrapText="1"/>
    </xf>
    <xf numFmtId="2" fontId="78" fillId="15" borderId="0" xfId="0" applyNumberFormat="1" applyFont="1" applyFill="1" applyBorder="1" applyAlignment="1" applyProtection="1">
      <alignment horizontal="center"/>
    </xf>
    <xf numFmtId="164" fontId="67" fillId="15" borderId="0" xfId="0" applyNumberFormat="1" applyFont="1" applyFill="1" applyBorder="1" applyProtection="1"/>
    <xf numFmtId="0" fontId="0" fillId="15" borderId="170" xfId="0" applyFill="1" applyBorder="1" applyProtection="1"/>
    <xf numFmtId="0" fontId="0" fillId="15" borderId="171" xfId="0" applyFill="1" applyBorder="1" applyProtection="1"/>
    <xf numFmtId="0" fontId="0" fillId="15" borderId="172" xfId="0" applyFill="1" applyBorder="1" applyProtection="1"/>
    <xf numFmtId="2" fontId="34" fillId="22" borderId="29" xfId="4" applyNumberFormat="1" applyFill="1" applyBorder="1" applyAlignment="1" applyProtection="1">
      <alignment horizontal="center" vertical="center"/>
      <protection locked="0"/>
    </xf>
    <xf numFmtId="2" fontId="34" fillId="22" borderId="32" xfId="4" applyNumberFormat="1" applyFill="1" applyBorder="1" applyAlignment="1" applyProtection="1">
      <alignment horizontal="center" vertical="center"/>
      <protection locked="0"/>
    </xf>
    <xf numFmtId="2" fontId="34" fillId="22" borderId="67" xfId="4" applyNumberFormat="1" applyFill="1" applyBorder="1" applyAlignment="1" applyProtection="1">
      <alignment horizontal="center" vertical="center"/>
      <protection locked="0"/>
    </xf>
    <xf numFmtId="0" fontId="18" fillId="15" borderId="161" xfId="0" applyFont="1" applyFill="1" applyBorder="1" applyAlignment="1" applyProtection="1"/>
    <xf numFmtId="0" fontId="54" fillId="24" borderId="56" xfId="0" applyFont="1" applyFill="1" applyBorder="1" applyAlignment="1" applyProtection="1">
      <alignment horizontal="center" vertical="center"/>
    </xf>
    <xf numFmtId="0" fontId="54" fillId="24" borderId="48" xfId="0" applyFont="1" applyFill="1" applyBorder="1" applyAlignment="1" applyProtection="1">
      <alignment horizontal="center" vertical="center"/>
    </xf>
    <xf numFmtId="0" fontId="50" fillId="14" borderId="48" xfId="3" applyFont="1" applyFill="1" applyBorder="1" applyAlignment="1" applyProtection="1">
      <alignment horizontal="center" vertical="center" wrapText="1"/>
    </xf>
    <xf numFmtId="0" fontId="54" fillId="24" borderId="48" xfId="0" applyFont="1" applyFill="1" applyBorder="1" applyAlignment="1" applyProtection="1">
      <alignment horizontal="center" vertical="center" wrapText="1"/>
    </xf>
    <xf numFmtId="0" fontId="50" fillId="14" borderId="49" xfId="3" applyFont="1" applyFill="1" applyBorder="1" applyAlignment="1" applyProtection="1">
      <alignment horizontal="center" vertical="center" wrapText="1"/>
    </xf>
    <xf numFmtId="0" fontId="40" fillId="13" borderId="19" xfId="5" applyFont="1" applyFill="1" applyBorder="1" applyAlignment="1" applyProtection="1">
      <alignment horizontal="center" wrapText="1"/>
    </xf>
    <xf numFmtId="0" fontId="0" fillId="15" borderId="2" xfId="0" applyFill="1" applyBorder="1" applyProtection="1"/>
    <xf numFmtId="0" fontId="0" fillId="15" borderId="17" xfId="0" applyFill="1" applyBorder="1" applyProtection="1"/>
    <xf numFmtId="0" fontId="40" fillId="13" borderId="150" xfId="5" applyFont="1" applyFill="1" applyBorder="1" applyAlignment="1" applyProtection="1">
      <alignment horizontal="center" wrapText="1"/>
    </xf>
    <xf numFmtId="0" fontId="0" fillId="15" borderId="20" xfId="0" applyFill="1" applyBorder="1" applyProtection="1"/>
    <xf numFmtId="0" fontId="72" fillId="14" borderId="56" xfId="3" applyFont="1" applyFill="1" applyBorder="1" applyAlignment="1" applyProtection="1">
      <alignment horizontal="center" vertical="center" wrapText="1"/>
    </xf>
    <xf numFmtId="0" fontId="72" fillId="14" borderId="48" xfId="3" applyFont="1" applyFill="1" applyBorder="1" applyAlignment="1" applyProtection="1">
      <alignment horizontal="center" vertical="center" wrapText="1"/>
    </xf>
    <xf numFmtId="0" fontId="51" fillId="24" borderId="48" xfId="0" applyFont="1" applyFill="1" applyBorder="1" applyAlignment="1" applyProtection="1">
      <alignment horizontal="center" vertical="center" wrapText="1"/>
    </xf>
    <xf numFmtId="0" fontId="36" fillId="24" borderId="0" xfId="5" applyFont="1" applyFill="1" applyBorder="1" applyAlignment="1" applyProtection="1">
      <alignment horizontal="center" wrapText="1"/>
    </xf>
    <xf numFmtId="0" fontId="0" fillId="15" borderId="18" xfId="0" applyFill="1" applyBorder="1" applyProtection="1"/>
    <xf numFmtId="0" fontId="34" fillId="13" borderId="20" xfId="4" applyFill="1" applyBorder="1" applyAlignment="1" applyProtection="1">
      <alignment horizontal="center"/>
    </xf>
    <xf numFmtId="0" fontId="34" fillId="13" borderId="47" xfId="4" applyFill="1" applyBorder="1" applyAlignment="1" applyProtection="1">
      <alignment horizontal="center"/>
    </xf>
    <xf numFmtId="0" fontId="34" fillId="15" borderId="0" xfId="4" applyFill="1" applyBorder="1" applyAlignment="1" applyProtection="1">
      <alignment wrapText="1"/>
    </xf>
    <xf numFmtId="1" fontId="34" fillId="15" borderId="0" xfId="4" applyNumberFormat="1" applyFill="1" applyBorder="1" applyAlignment="1" applyProtection="1">
      <alignment horizontal="center"/>
    </xf>
    <xf numFmtId="2" fontId="34" fillId="15" borderId="0" xfId="4" applyNumberFormat="1" applyFill="1" applyBorder="1" applyAlignment="1" applyProtection="1">
      <alignment horizontal="center"/>
    </xf>
    <xf numFmtId="165" fontId="34" fillId="15" borderId="0" xfId="4" applyNumberFormat="1" applyFill="1" applyBorder="1" applyAlignment="1" applyProtection="1">
      <alignment horizontal="center"/>
    </xf>
    <xf numFmtId="0" fontId="34" fillId="15" borderId="0" xfId="4" applyFill="1" applyBorder="1" applyAlignment="1" applyProtection="1">
      <alignment horizontal="center"/>
    </xf>
    <xf numFmtId="0" fontId="34" fillId="15" borderId="0" xfId="4" applyFill="1" applyBorder="1" applyProtection="1"/>
    <xf numFmtId="1" fontId="0" fillId="15" borderId="0" xfId="0" applyNumberFormat="1" applyFill="1" applyBorder="1" applyProtection="1"/>
    <xf numFmtId="1" fontId="34" fillId="23" borderId="29" xfId="4" applyNumberFormat="1" applyFill="1" applyBorder="1" applyAlignment="1" applyProtection="1">
      <alignment horizontal="center"/>
      <protection locked="0"/>
    </xf>
    <xf numFmtId="2" fontId="34" fillId="23" borderId="29" xfId="4" applyNumberFormat="1" applyFill="1" applyBorder="1" applyAlignment="1" applyProtection="1">
      <alignment horizontal="center"/>
      <protection locked="0"/>
    </xf>
    <xf numFmtId="1" fontId="34" fillId="23" borderId="30" xfId="4" applyNumberFormat="1" applyFill="1" applyBorder="1" applyAlignment="1" applyProtection="1">
      <alignment horizontal="center"/>
      <protection locked="0"/>
    </xf>
    <xf numFmtId="1" fontId="34" fillId="23" borderId="32" xfId="4" applyNumberFormat="1" applyFill="1" applyBorder="1" applyAlignment="1" applyProtection="1">
      <alignment horizontal="center"/>
      <protection locked="0"/>
    </xf>
    <xf numFmtId="2" fontId="34" fillId="23" borderId="32" xfId="4" applyNumberFormat="1" applyFill="1" applyBorder="1" applyAlignment="1" applyProtection="1">
      <alignment horizontal="center"/>
      <protection locked="0"/>
    </xf>
    <xf numFmtId="1" fontId="34" fillId="23" borderId="33" xfId="4" applyNumberFormat="1" applyFill="1" applyBorder="1" applyAlignment="1" applyProtection="1">
      <alignment horizontal="center"/>
      <protection locked="0"/>
    </xf>
    <xf numFmtId="0" fontId="5" fillId="23" borderId="31" xfId="4" applyFont="1" applyFill="1" applyBorder="1" applyProtection="1">
      <protection locked="0"/>
    </xf>
    <xf numFmtId="0" fontId="34" fillId="23" borderId="34" xfId="4" applyFill="1" applyBorder="1" applyProtection="1">
      <protection locked="0"/>
    </xf>
    <xf numFmtId="1" fontId="34" fillId="23" borderId="35" xfId="4" applyNumberFormat="1" applyFill="1" applyBorder="1" applyAlignment="1" applyProtection="1">
      <alignment horizontal="center"/>
      <protection locked="0"/>
    </xf>
    <xf numFmtId="2" fontId="34" fillId="23" borderId="35" xfId="4" applyNumberFormat="1" applyFill="1" applyBorder="1" applyAlignment="1" applyProtection="1">
      <alignment horizontal="center"/>
      <protection locked="0"/>
    </xf>
    <xf numFmtId="1" fontId="34" fillId="23" borderId="36" xfId="4" applyNumberFormat="1" applyFill="1" applyBorder="1" applyAlignment="1" applyProtection="1">
      <alignment horizontal="center"/>
      <protection locked="0"/>
    </xf>
    <xf numFmtId="165" fontId="34" fillId="22" borderId="37" xfId="4" applyNumberFormat="1" applyFill="1" applyBorder="1" applyAlignment="1" applyProtection="1">
      <alignment horizontal="center"/>
      <protection locked="0"/>
    </xf>
    <xf numFmtId="1" fontId="34" fillId="22" borderId="29" xfId="4" applyNumberFormat="1" applyFill="1" applyBorder="1" applyAlignment="1" applyProtection="1">
      <alignment horizontal="center"/>
      <protection locked="0"/>
    </xf>
    <xf numFmtId="0" fontId="34" fillId="22" borderId="29" xfId="4" applyFill="1" applyBorder="1" applyAlignment="1" applyProtection="1">
      <alignment horizontal="center"/>
      <protection locked="0"/>
    </xf>
    <xf numFmtId="165" fontId="34" fillId="22" borderId="38" xfId="4" applyNumberFormat="1" applyFill="1" applyBorder="1" applyAlignment="1" applyProtection="1">
      <alignment horizontal="center"/>
      <protection locked="0"/>
    </xf>
    <xf numFmtId="1" fontId="34" fillId="22" borderId="32" xfId="4" applyNumberFormat="1" applyFill="1" applyBorder="1" applyAlignment="1" applyProtection="1">
      <alignment horizontal="center"/>
      <protection locked="0"/>
    </xf>
    <xf numFmtId="0" fontId="34" fillId="22" borderId="32" xfId="4" applyFill="1" applyBorder="1" applyAlignment="1" applyProtection="1">
      <alignment horizontal="center"/>
      <protection locked="0"/>
    </xf>
    <xf numFmtId="165" fontId="34" fillId="22" borderId="39" xfId="4" applyNumberFormat="1" applyFill="1" applyBorder="1" applyAlignment="1" applyProtection="1">
      <alignment horizontal="center"/>
      <protection locked="0"/>
    </xf>
    <xf numFmtId="1" fontId="34" fillId="22" borderId="35" xfId="4" applyNumberFormat="1" applyFill="1" applyBorder="1" applyAlignment="1" applyProtection="1">
      <alignment horizontal="center"/>
      <protection locked="0"/>
    </xf>
    <xf numFmtId="0" fontId="34" fillId="22" borderId="35" xfId="4" applyFill="1" applyBorder="1" applyAlignment="1" applyProtection="1">
      <alignment horizontal="center"/>
      <protection locked="0"/>
    </xf>
    <xf numFmtId="1" fontId="34" fillId="22" borderId="40" xfId="4" applyNumberFormat="1" applyFill="1" applyBorder="1" applyAlignment="1" applyProtection="1">
      <alignment horizontal="center"/>
      <protection locked="0"/>
    </xf>
    <xf numFmtId="0" fontId="34" fillId="22" borderId="40" xfId="4" applyFill="1" applyBorder="1" applyAlignment="1" applyProtection="1">
      <alignment horizontal="center"/>
      <protection locked="0"/>
    </xf>
    <xf numFmtId="1" fontId="34" fillId="22" borderId="41" xfId="4" applyNumberFormat="1" applyFill="1" applyBorder="1" applyAlignment="1" applyProtection="1">
      <alignment horizontal="center"/>
      <protection locked="0"/>
    </xf>
    <xf numFmtId="1" fontId="34" fillId="22" borderId="33" xfId="4" applyNumberFormat="1" applyFill="1" applyBorder="1" applyAlignment="1" applyProtection="1">
      <alignment horizontal="center"/>
      <protection locked="0"/>
    </xf>
    <xf numFmtId="0" fontId="34" fillId="22" borderId="31" xfId="4" applyFill="1" applyBorder="1" applyProtection="1">
      <protection locked="0"/>
    </xf>
    <xf numFmtId="0" fontId="34" fillId="22" borderId="45" xfId="4" applyFill="1" applyBorder="1" applyProtection="1">
      <protection locked="0"/>
    </xf>
    <xf numFmtId="1" fontId="34" fillId="22" borderId="46" xfId="4" applyNumberFormat="1" applyFill="1" applyBorder="1" applyAlignment="1" applyProtection="1">
      <alignment horizontal="center"/>
      <protection locked="0"/>
    </xf>
    <xf numFmtId="0" fontId="34" fillId="22" borderId="46" xfId="4" applyFill="1" applyBorder="1" applyAlignment="1" applyProtection="1">
      <alignment horizontal="center"/>
      <protection locked="0"/>
    </xf>
    <xf numFmtId="1" fontId="34" fillId="22" borderId="36" xfId="4" applyNumberFormat="1" applyFill="1" applyBorder="1" applyAlignment="1" applyProtection="1">
      <alignment horizontal="center"/>
      <protection locked="0"/>
    </xf>
    <xf numFmtId="165" fontId="34" fillId="22" borderId="42" xfId="4" applyNumberFormat="1" applyFill="1" applyBorder="1" applyAlignment="1" applyProtection="1">
      <alignment horizontal="center"/>
      <protection locked="0"/>
    </xf>
    <xf numFmtId="165" fontId="34" fillId="22" borderId="43" xfId="4" applyNumberFormat="1" applyFill="1" applyBorder="1" applyAlignment="1" applyProtection="1">
      <alignment horizontal="center"/>
      <protection locked="0"/>
    </xf>
    <xf numFmtId="1" fontId="34" fillId="22" borderId="44" xfId="4" applyNumberFormat="1" applyFill="1" applyBorder="1" applyAlignment="1" applyProtection="1">
      <alignment horizontal="center"/>
      <protection locked="0"/>
    </xf>
    <xf numFmtId="0" fontId="2" fillId="0" borderId="0" xfId="13"/>
    <xf numFmtId="0" fontId="81" fillId="15" borderId="6" xfId="13" applyFont="1" applyFill="1" applyBorder="1"/>
    <xf numFmtId="0" fontId="81" fillId="15" borderId="7" xfId="13" applyFont="1" applyFill="1" applyBorder="1"/>
    <xf numFmtId="0" fontId="81" fillId="15" borderId="8" xfId="13" applyFont="1" applyFill="1" applyBorder="1"/>
    <xf numFmtId="0" fontId="81" fillId="15" borderId="10" xfId="13" applyFont="1" applyFill="1" applyBorder="1"/>
    <xf numFmtId="0" fontId="81" fillId="15" borderId="0" xfId="13" applyFont="1" applyFill="1" applyBorder="1"/>
    <xf numFmtId="0" fontId="81" fillId="15" borderId="1" xfId="13" applyFont="1" applyFill="1" applyBorder="1"/>
    <xf numFmtId="0" fontId="81" fillId="15" borderId="12" xfId="13" applyFont="1" applyFill="1" applyBorder="1"/>
    <xf numFmtId="0" fontId="81" fillId="15" borderId="13" xfId="13" applyFont="1" applyFill="1" applyBorder="1"/>
    <xf numFmtId="0" fontId="81" fillId="15" borderId="14" xfId="13" applyFont="1" applyFill="1" applyBorder="1"/>
    <xf numFmtId="0" fontId="81" fillId="22" borderId="175" xfId="13" applyFont="1" applyFill="1" applyBorder="1" applyAlignment="1">
      <alignment horizontal="right"/>
    </xf>
    <xf numFmtId="0" fontId="86" fillId="22" borderId="0" xfId="13" applyFont="1" applyFill="1" applyBorder="1" applyAlignment="1">
      <alignment vertical="center"/>
    </xf>
    <xf numFmtId="0" fontId="86" fillId="22" borderId="176" xfId="13" applyFont="1" applyFill="1" applyBorder="1" applyAlignment="1">
      <alignment vertical="center"/>
    </xf>
    <xf numFmtId="0" fontId="81" fillId="22" borderId="175" xfId="13" applyFont="1" applyFill="1" applyBorder="1"/>
    <xf numFmtId="0" fontId="81" fillId="22" borderId="128" xfId="13" applyFont="1" applyFill="1" applyBorder="1"/>
    <xf numFmtId="0" fontId="85" fillId="15" borderId="0" xfId="13" applyFont="1" applyFill="1" applyBorder="1" applyAlignment="1">
      <alignment horizontal="right"/>
    </xf>
    <xf numFmtId="0" fontId="83" fillId="15" borderId="0" xfId="13" applyFont="1" applyFill="1" applyBorder="1" applyAlignment="1">
      <alignment horizontal="center" vertical="center"/>
    </xf>
    <xf numFmtId="0" fontId="81" fillId="15" borderId="10" xfId="13" applyFont="1" applyFill="1" applyBorder="1" applyAlignment="1">
      <alignment horizontal="right"/>
    </xf>
    <xf numFmtId="0" fontId="82" fillId="15" borderId="0" xfId="13" applyFont="1" applyFill="1" applyBorder="1" applyAlignment="1">
      <alignment horizontal="right"/>
    </xf>
    <xf numFmtId="0" fontId="82" fillId="15" borderId="0" xfId="13" applyFont="1" applyFill="1" applyBorder="1"/>
    <xf numFmtId="0" fontId="0" fillId="15" borderId="0" xfId="0" applyFill="1" applyAlignment="1">
      <alignment horizontal="left" vertical="center"/>
    </xf>
    <xf numFmtId="1" fontId="39" fillId="15" borderId="0" xfId="1" applyNumberFormat="1" applyFont="1" applyFill="1" applyBorder="1" applyAlignment="1" applyProtection="1">
      <alignment horizontal="center" vertical="center"/>
      <protection hidden="1"/>
    </xf>
    <xf numFmtId="0" fontId="75" fillId="15" borderId="0" xfId="0" applyFont="1" applyFill="1"/>
    <xf numFmtId="0" fontId="67" fillId="15" borderId="0" xfId="0" applyFont="1" applyFill="1"/>
    <xf numFmtId="1" fontId="67" fillId="15" borderId="0" xfId="0" applyNumberFormat="1" applyFont="1" applyFill="1"/>
    <xf numFmtId="164" fontId="67" fillId="15" borderId="0" xfId="0" applyNumberFormat="1" applyFont="1" applyFill="1"/>
    <xf numFmtId="2" fontId="67" fillId="15" borderId="0" xfId="0" applyNumberFormat="1" applyFont="1" applyFill="1"/>
    <xf numFmtId="0" fontId="22" fillId="0" borderId="173" xfId="0" applyFont="1" applyBorder="1" applyProtection="1">
      <protection hidden="1"/>
    </xf>
    <xf numFmtId="0" fontId="22" fillId="0" borderId="149" xfId="0" applyFont="1" applyBorder="1" applyProtection="1">
      <protection hidden="1"/>
    </xf>
    <xf numFmtId="0" fontId="22" fillId="0" borderId="174" xfId="0" applyFont="1" applyBorder="1" applyProtection="1">
      <protection hidden="1"/>
    </xf>
    <xf numFmtId="0" fontId="22" fillId="0" borderId="175" xfId="0" applyFont="1" applyBorder="1" applyProtection="1">
      <protection hidden="1"/>
    </xf>
    <xf numFmtId="0" fontId="22" fillId="0" borderId="0" xfId="0" applyFont="1" applyBorder="1" applyProtection="1">
      <protection hidden="1"/>
    </xf>
    <xf numFmtId="0" fontId="22" fillId="0" borderId="176" xfId="0" applyFont="1" applyBorder="1" applyProtection="1">
      <protection hidden="1"/>
    </xf>
    <xf numFmtId="0" fontId="22" fillId="0" borderId="128" xfId="0" applyFont="1" applyBorder="1" applyProtection="1">
      <protection hidden="1"/>
    </xf>
    <xf numFmtId="0" fontId="22" fillId="0" borderId="60" xfId="0" applyFont="1" applyBorder="1" applyProtection="1">
      <protection hidden="1"/>
    </xf>
    <xf numFmtId="0" fontId="22" fillId="0" borderId="127" xfId="0" applyFont="1" applyBorder="1" applyProtection="1">
      <protection hidden="1"/>
    </xf>
    <xf numFmtId="0" fontId="81" fillId="15" borderId="0" xfId="13" applyFont="1" applyFill="1" applyBorder="1" applyAlignment="1">
      <alignment horizontal="right"/>
    </xf>
    <xf numFmtId="0" fontId="87" fillId="28" borderId="128" xfId="13" applyFont="1" applyFill="1" applyBorder="1" applyAlignment="1">
      <alignment horizontal="center" vertical="center" wrapText="1"/>
    </xf>
    <xf numFmtId="0" fontId="87" fillId="28" borderId="60" xfId="13" applyFont="1" applyFill="1" applyBorder="1" applyAlignment="1">
      <alignment horizontal="center" vertical="center" wrapText="1"/>
    </xf>
    <xf numFmtId="0" fontId="87" fillId="28" borderId="127" xfId="13" applyFont="1" applyFill="1" applyBorder="1" applyAlignment="1">
      <alignment horizontal="center" vertical="center" wrapText="1"/>
    </xf>
    <xf numFmtId="0" fontId="84" fillId="15" borderId="173" xfId="13" applyFont="1" applyFill="1" applyBorder="1" applyAlignment="1">
      <alignment horizontal="left"/>
    </xf>
    <xf numFmtId="0" fontId="84" fillId="15" borderId="149" xfId="13" applyFont="1" applyFill="1" applyBorder="1" applyAlignment="1">
      <alignment horizontal="left"/>
    </xf>
    <xf numFmtId="0" fontId="84" fillId="15" borderId="174" xfId="13" applyFont="1" applyFill="1" applyBorder="1" applyAlignment="1">
      <alignment horizontal="left"/>
    </xf>
    <xf numFmtId="0" fontId="84" fillId="15" borderId="128" xfId="13" applyFont="1" applyFill="1" applyBorder="1" applyAlignment="1">
      <alignment horizontal="left"/>
    </xf>
    <xf numFmtId="0" fontId="84" fillId="15" borderId="60" xfId="13" applyFont="1" applyFill="1" applyBorder="1" applyAlignment="1">
      <alignment horizontal="left"/>
    </xf>
    <xf numFmtId="0" fontId="84" fillId="15" borderId="127" xfId="13" applyFont="1" applyFill="1" applyBorder="1" applyAlignment="1">
      <alignment horizontal="left"/>
    </xf>
    <xf numFmtId="0" fontId="86" fillId="22" borderId="0" xfId="13" applyFont="1" applyFill="1" applyBorder="1" applyAlignment="1">
      <alignment horizontal="center" vertical="center" wrapText="1"/>
    </xf>
    <xf numFmtId="0" fontId="86" fillId="22" borderId="176" xfId="13" applyFont="1" applyFill="1" applyBorder="1" applyAlignment="1">
      <alignment horizontal="center" vertical="center" wrapText="1"/>
    </xf>
    <xf numFmtId="0" fontId="86" fillId="22" borderId="60" xfId="13" applyFont="1" applyFill="1" applyBorder="1" applyAlignment="1">
      <alignment horizontal="center" vertical="center" wrapText="1"/>
    </xf>
    <xf numFmtId="0" fontId="86" fillId="22" borderId="127" xfId="13" applyFont="1" applyFill="1" applyBorder="1" applyAlignment="1">
      <alignment horizontal="center" vertical="center" wrapText="1"/>
    </xf>
    <xf numFmtId="0" fontId="83" fillId="22" borderId="7" xfId="0" applyFont="1" applyFill="1" applyBorder="1" applyAlignment="1">
      <alignment horizontal="center" vertical="center"/>
    </xf>
    <xf numFmtId="0" fontId="83" fillId="22" borderId="8" xfId="0" applyFont="1" applyFill="1" applyBorder="1" applyAlignment="1">
      <alignment horizontal="center" vertical="center"/>
    </xf>
    <xf numFmtId="0" fontId="83" fillId="22" borderId="10" xfId="0" applyFont="1" applyFill="1" applyBorder="1" applyAlignment="1">
      <alignment horizontal="center" vertical="center"/>
    </xf>
    <xf numFmtId="0" fontId="83" fillId="22" borderId="0" xfId="0" applyFont="1" applyFill="1" applyBorder="1" applyAlignment="1">
      <alignment horizontal="center" vertical="center"/>
    </xf>
    <xf numFmtId="0" fontId="83" fillId="22" borderId="1" xfId="0" applyFont="1" applyFill="1" applyBorder="1" applyAlignment="1">
      <alignment horizontal="center" vertical="center"/>
    </xf>
    <xf numFmtId="0" fontId="83" fillId="22" borderId="12" xfId="0" applyFont="1" applyFill="1" applyBorder="1" applyAlignment="1">
      <alignment horizontal="center" vertical="center"/>
    </xf>
    <xf numFmtId="0" fontId="83" fillId="22" borderId="13" xfId="0" applyFont="1" applyFill="1" applyBorder="1" applyAlignment="1">
      <alignment horizontal="center" vertical="center"/>
    </xf>
    <xf numFmtId="0" fontId="83" fillId="22" borderId="14" xfId="0" applyFont="1" applyFill="1" applyBorder="1" applyAlignment="1">
      <alignment horizontal="center" vertical="center"/>
    </xf>
    <xf numFmtId="0" fontId="83" fillId="22" borderId="25" xfId="13" applyFont="1" applyFill="1" applyBorder="1" applyAlignment="1">
      <alignment horizontal="center" vertical="center"/>
    </xf>
    <xf numFmtId="0" fontId="83" fillId="22" borderId="58" xfId="13" applyFont="1" applyFill="1" applyBorder="1" applyAlignment="1">
      <alignment horizontal="center" vertical="center"/>
    </xf>
    <xf numFmtId="0" fontId="83" fillId="22" borderId="27" xfId="13" applyFont="1" applyFill="1" applyBorder="1" applyAlignment="1">
      <alignment horizontal="center" vertical="center"/>
    </xf>
    <xf numFmtId="14" fontId="83" fillId="22" borderId="25" xfId="13" applyNumberFormat="1" applyFont="1" applyFill="1" applyBorder="1" applyAlignment="1">
      <alignment horizontal="center" vertical="center"/>
    </xf>
    <xf numFmtId="0" fontId="83" fillId="22" borderId="6" xfId="13" applyFont="1" applyFill="1" applyBorder="1" applyAlignment="1">
      <alignment horizontal="center" vertical="center"/>
    </xf>
    <xf numFmtId="0" fontId="83" fillId="22" borderId="7" xfId="13" applyFont="1" applyFill="1" applyBorder="1" applyAlignment="1">
      <alignment horizontal="center" vertical="center"/>
    </xf>
    <xf numFmtId="0" fontId="83" fillId="22" borderId="8" xfId="13" applyFont="1" applyFill="1" applyBorder="1" applyAlignment="1">
      <alignment horizontal="center" vertical="center"/>
    </xf>
    <xf numFmtId="0" fontId="83" fillId="22" borderId="10" xfId="13" applyFont="1" applyFill="1" applyBorder="1" applyAlignment="1">
      <alignment horizontal="center" vertical="center"/>
    </xf>
    <xf numFmtId="0" fontId="83" fillId="22" borderId="0" xfId="13" applyFont="1" applyFill="1" applyBorder="1" applyAlignment="1">
      <alignment horizontal="center" vertical="center"/>
    </xf>
    <xf numFmtId="0" fontId="83" fillId="22" borderId="1" xfId="13" applyFont="1" applyFill="1" applyBorder="1" applyAlignment="1">
      <alignment horizontal="center" vertical="center"/>
    </xf>
    <xf numFmtId="0" fontId="83" fillId="22" borderId="12" xfId="13" applyFont="1" applyFill="1" applyBorder="1" applyAlignment="1">
      <alignment horizontal="center" vertical="center"/>
    </xf>
    <xf numFmtId="0" fontId="83" fillId="22" borderId="13" xfId="13" applyFont="1" applyFill="1" applyBorder="1" applyAlignment="1">
      <alignment horizontal="center" vertical="center"/>
    </xf>
    <xf numFmtId="0" fontId="83" fillId="22" borderId="14" xfId="13" applyFont="1" applyFill="1" applyBorder="1" applyAlignment="1">
      <alignment horizontal="center" vertical="center"/>
    </xf>
    <xf numFmtId="0" fontId="41" fillId="13" borderId="57" xfId="1" applyFont="1" applyFill="1" applyBorder="1" applyAlignment="1" applyProtection="1">
      <alignment horizontal="center" vertical="center"/>
    </xf>
    <xf numFmtId="0" fontId="41" fillId="13" borderId="58" xfId="1" applyFont="1" applyFill="1" applyBorder="1" applyAlignment="1" applyProtection="1">
      <alignment horizontal="center" vertical="center"/>
    </xf>
    <xf numFmtId="0" fontId="41" fillId="13" borderId="59" xfId="1" applyFont="1" applyFill="1" applyBorder="1" applyAlignment="1" applyProtection="1">
      <alignment horizontal="center" vertical="center"/>
    </xf>
    <xf numFmtId="0" fontId="76" fillId="15" borderId="0" xfId="0" applyFont="1" applyFill="1" applyBorder="1" applyAlignment="1" applyProtection="1"/>
    <xf numFmtId="0" fontId="78" fillId="15" borderId="0" xfId="0" applyFont="1" applyFill="1" applyBorder="1" applyAlignment="1" applyProtection="1">
      <alignment horizontal="center"/>
    </xf>
    <xf numFmtId="0" fontId="73" fillId="25" borderId="0" xfId="1" applyFont="1" applyFill="1" applyBorder="1" applyAlignment="1" applyProtection="1">
      <alignment horizontal="center" vertical="center" wrapText="1"/>
    </xf>
    <xf numFmtId="0" fontId="44" fillId="25" borderId="0" xfId="1" applyFont="1" applyFill="1" applyBorder="1" applyAlignment="1" applyProtection="1">
      <alignment horizontal="center" vertical="center" wrapText="1"/>
    </xf>
    <xf numFmtId="0" fontId="40" fillId="25" borderId="0" xfId="1" applyFont="1" applyFill="1" applyBorder="1" applyAlignment="1" applyProtection="1">
      <alignment horizontal="center" vertical="center" wrapText="1"/>
    </xf>
    <xf numFmtId="0" fontId="18" fillId="5" borderId="60" xfId="0" applyFont="1" applyFill="1" applyBorder="1" applyAlignment="1" applyProtection="1">
      <alignment horizontal="center" vertical="center"/>
    </xf>
    <xf numFmtId="0" fontId="18" fillId="5" borderId="60" xfId="0" applyFont="1" applyFill="1" applyBorder="1" applyAlignment="1" applyProtection="1">
      <alignment horizontal="center"/>
    </xf>
    <xf numFmtId="2" fontId="5" fillId="22" borderId="87" xfId="4" applyNumberFormat="1" applyFont="1" applyFill="1" applyBorder="1" applyAlignment="1" applyProtection="1">
      <alignment horizontal="center" vertical="center"/>
      <protection locked="0"/>
    </xf>
    <xf numFmtId="2" fontId="34" fillId="22" borderId="87" xfId="4" applyNumberFormat="1" applyFill="1" applyBorder="1" applyAlignment="1" applyProtection="1">
      <alignment horizontal="center" vertical="center"/>
      <protection locked="0"/>
    </xf>
    <xf numFmtId="2" fontId="5" fillId="22" borderId="0" xfId="4" applyNumberFormat="1" applyFont="1" applyFill="1" applyBorder="1" applyAlignment="1" applyProtection="1">
      <alignment horizontal="center" vertical="center"/>
      <protection locked="0"/>
    </xf>
    <xf numFmtId="2" fontId="34" fillId="22" borderId="0" xfId="4" applyNumberFormat="1" applyFill="1" applyBorder="1" applyAlignment="1" applyProtection="1">
      <alignment horizontal="center" vertical="center"/>
      <protection locked="0"/>
    </xf>
    <xf numFmtId="0" fontId="40" fillId="13" borderId="0" xfId="0" applyFont="1" applyFill="1" applyBorder="1" applyAlignment="1">
      <alignment horizontal="center" vertical="center"/>
    </xf>
    <xf numFmtId="2" fontId="5" fillId="22" borderId="92" xfId="4" applyNumberFormat="1" applyFont="1" applyFill="1" applyBorder="1" applyAlignment="1" applyProtection="1">
      <alignment horizontal="center" vertical="center"/>
      <protection locked="0"/>
    </xf>
    <xf numFmtId="2" fontId="34" fillId="22" borderId="92" xfId="4" applyNumberFormat="1" applyFill="1" applyBorder="1" applyAlignment="1" applyProtection="1">
      <alignment horizontal="center" vertical="center"/>
      <protection locked="0"/>
    </xf>
    <xf numFmtId="2" fontId="5" fillId="22" borderId="94" xfId="4" applyNumberFormat="1" applyFont="1" applyFill="1" applyBorder="1" applyAlignment="1" applyProtection="1">
      <alignment horizontal="center" vertical="center"/>
      <protection locked="0"/>
    </xf>
    <xf numFmtId="2" fontId="34" fillId="22" borderId="94" xfId="4" applyNumberFormat="1" applyFill="1" applyBorder="1" applyAlignment="1" applyProtection="1">
      <alignment horizontal="center" vertical="center"/>
      <protection locked="0"/>
    </xf>
    <xf numFmtId="1" fontId="34" fillId="22" borderId="93" xfId="4" applyNumberFormat="1" applyFill="1" applyBorder="1" applyAlignment="1" applyProtection="1">
      <alignment horizontal="center" vertical="center"/>
      <protection locked="0"/>
    </xf>
    <xf numFmtId="0" fontId="60" fillId="26" borderId="74" xfId="0" applyFont="1" applyFill="1" applyBorder="1" applyAlignment="1">
      <alignment horizontal="center" vertical="center"/>
    </xf>
    <xf numFmtId="0" fontId="60" fillId="26" borderId="75" xfId="0" applyFont="1" applyFill="1" applyBorder="1" applyAlignment="1">
      <alignment horizontal="center" vertical="center"/>
    </xf>
    <xf numFmtId="0" fontId="60" fillId="26" borderId="76" xfId="0" applyFont="1" applyFill="1" applyBorder="1" applyAlignment="1">
      <alignment horizontal="center" vertical="center"/>
    </xf>
    <xf numFmtId="1" fontId="4" fillId="22" borderId="94" xfId="4" applyNumberFormat="1" applyFont="1" applyFill="1" applyBorder="1" applyAlignment="1" applyProtection="1">
      <alignment horizontal="center" vertical="center"/>
      <protection locked="0"/>
    </xf>
    <xf numFmtId="1" fontId="34" fillId="22" borderId="94" xfId="4" applyNumberFormat="1" applyFill="1" applyBorder="1" applyAlignment="1" applyProtection="1">
      <alignment horizontal="center" vertical="center"/>
      <protection locked="0"/>
    </xf>
    <xf numFmtId="2" fontId="4" fillId="22" borderId="92" xfId="4" applyNumberFormat="1" applyFont="1" applyFill="1" applyBorder="1" applyAlignment="1" applyProtection="1">
      <alignment horizontal="center" vertical="center"/>
      <protection locked="0"/>
    </xf>
    <xf numFmtId="2" fontId="9" fillId="22" borderId="92" xfId="4" applyNumberFormat="1" applyFont="1" applyFill="1" applyBorder="1" applyAlignment="1" applyProtection="1">
      <alignment horizontal="center" vertical="center"/>
      <protection locked="0"/>
    </xf>
    <xf numFmtId="0" fontId="40" fillId="17" borderId="96" xfId="9" applyFont="1" applyBorder="1" applyAlignment="1">
      <alignment horizontal="center"/>
    </xf>
    <xf numFmtId="0" fontId="57" fillId="15" borderId="0" xfId="6" applyFont="1" applyFill="1" applyBorder="1" applyAlignment="1">
      <alignment horizontal="center" vertical="center"/>
    </xf>
    <xf numFmtId="2" fontId="39" fillId="22" borderId="140" xfId="1" applyNumberFormat="1" applyFont="1" applyFill="1" applyBorder="1" applyAlignment="1" applyProtection="1">
      <alignment horizontal="center" vertical="center" wrapText="1"/>
      <protection locked="0" hidden="1"/>
    </xf>
    <xf numFmtId="2" fontId="39" fillId="22" borderId="141" xfId="1" applyNumberFormat="1" applyFont="1" applyFill="1" applyBorder="1" applyAlignment="1" applyProtection="1">
      <alignment horizontal="center" vertical="center" wrapText="1"/>
      <protection locked="0" hidden="1"/>
    </xf>
    <xf numFmtId="2" fontId="34" fillId="22" borderId="140" xfId="4" applyNumberFormat="1" applyFill="1" applyBorder="1" applyAlignment="1" applyProtection="1">
      <alignment horizontal="center" vertical="center" wrapText="1"/>
      <protection locked="0"/>
    </xf>
    <xf numFmtId="2" fontId="34" fillId="22" borderId="141" xfId="4" applyNumberFormat="1" applyFill="1" applyBorder="1" applyAlignment="1" applyProtection="1">
      <alignment horizontal="center" vertical="center" wrapText="1"/>
      <protection locked="0"/>
    </xf>
    <xf numFmtId="1" fontId="5" fillId="22" borderId="140" xfId="4" applyNumberFormat="1" applyFont="1" applyFill="1" applyBorder="1" applyAlignment="1" applyProtection="1">
      <alignment horizontal="center" vertical="center"/>
      <protection locked="0"/>
    </xf>
    <xf numFmtId="1" fontId="5" fillId="22" borderId="141" xfId="4" applyNumberFormat="1" applyFont="1" applyFill="1" applyBorder="1" applyAlignment="1" applyProtection="1">
      <alignment horizontal="center" vertical="center"/>
      <protection locked="0"/>
    </xf>
    <xf numFmtId="1" fontId="34" fillId="22" borderId="140" xfId="4" applyNumberFormat="1" applyFill="1" applyBorder="1" applyAlignment="1" applyProtection="1">
      <alignment horizontal="center" vertical="center"/>
      <protection locked="0"/>
    </xf>
    <xf numFmtId="1" fontId="34" fillId="22" borderId="141" xfId="4" applyNumberFormat="1" applyFill="1" applyBorder="1" applyAlignment="1" applyProtection="1">
      <alignment horizontal="center" vertical="center"/>
      <protection locked="0"/>
    </xf>
    <xf numFmtId="1" fontId="34" fillId="22" borderId="151" xfId="4" applyNumberFormat="1" applyFill="1" applyBorder="1" applyAlignment="1" applyProtection="1">
      <alignment horizontal="center" vertical="center"/>
      <protection locked="0"/>
    </xf>
    <xf numFmtId="1" fontId="34" fillId="22" borderId="152" xfId="4" applyNumberFormat="1" applyFill="1" applyBorder="1" applyAlignment="1" applyProtection="1">
      <alignment horizontal="center" vertical="center"/>
      <protection locked="0"/>
    </xf>
    <xf numFmtId="1" fontId="39" fillId="22" borderId="140" xfId="1" applyNumberFormat="1" applyFont="1" applyFill="1" applyBorder="1" applyAlignment="1" applyProtection="1">
      <alignment horizontal="center" vertical="center" wrapText="1"/>
      <protection locked="0" hidden="1"/>
    </xf>
    <xf numFmtId="1" fontId="39" fillId="22" borderId="156" xfId="1" applyNumberFormat="1" applyFont="1" applyFill="1" applyBorder="1" applyAlignment="1" applyProtection="1">
      <alignment horizontal="center" vertical="center" wrapText="1"/>
      <protection locked="0" hidden="1"/>
    </xf>
    <xf numFmtId="0" fontId="54" fillId="26" borderId="104" xfId="0" applyFont="1" applyFill="1" applyBorder="1" applyAlignment="1">
      <alignment horizontal="center" vertical="center" wrapText="1"/>
    </xf>
    <xf numFmtId="0" fontId="54" fillId="26" borderId="153" xfId="0" applyFont="1" applyFill="1" applyBorder="1" applyAlignment="1">
      <alignment horizontal="center" vertical="center" wrapText="1"/>
    </xf>
    <xf numFmtId="0" fontId="56" fillId="13" borderId="154" xfId="5" applyFont="1" applyFill="1" applyBorder="1" applyAlignment="1">
      <alignment horizontal="center" vertical="center" wrapText="1"/>
    </xf>
    <xf numFmtId="0" fontId="56" fillId="13" borderId="155" xfId="5" applyFont="1" applyFill="1" applyBorder="1" applyAlignment="1">
      <alignment horizontal="center" vertical="center" wrapText="1"/>
    </xf>
    <xf numFmtId="1" fontId="39" fillId="22" borderId="141" xfId="1" applyNumberFormat="1" applyFont="1" applyFill="1" applyBorder="1" applyAlignment="1" applyProtection="1">
      <alignment horizontal="center" vertical="center" wrapText="1"/>
      <protection locked="0" hidden="1"/>
    </xf>
    <xf numFmtId="2" fontId="39" fillId="7" borderId="0" xfId="1" applyNumberFormat="1" applyFont="1" applyBorder="1" applyAlignment="1" applyProtection="1">
      <alignment horizontal="center" vertical="center" wrapText="1"/>
      <protection hidden="1"/>
    </xf>
    <xf numFmtId="2" fontId="39" fillId="7" borderId="83" xfId="1" applyNumberFormat="1" applyFont="1" applyBorder="1" applyAlignment="1" applyProtection="1">
      <alignment horizontal="center" vertical="center" wrapText="1"/>
      <protection hidden="1"/>
    </xf>
    <xf numFmtId="2" fontId="39" fillId="7" borderId="81" xfId="1" applyNumberFormat="1" applyFont="1" applyBorder="1" applyAlignment="1" applyProtection="1">
      <alignment horizontal="center" vertical="center" wrapText="1"/>
      <protection hidden="1"/>
    </xf>
    <xf numFmtId="1" fontId="39" fillId="7" borderId="0" xfId="1" applyNumberFormat="1" applyFont="1" applyBorder="1" applyAlignment="1" applyProtection="1">
      <alignment horizontal="center" vertical="center" wrapText="1"/>
      <protection hidden="1"/>
    </xf>
    <xf numFmtId="2" fontId="8" fillId="22" borderId="88" xfId="4" applyNumberFormat="1" applyFont="1" applyFill="1" applyBorder="1" applyAlignment="1" applyProtection="1">
      <alignment horizontal="center" vertical="center"/>
      <protection locked="0"/>
    </xf>
    <xf numFmtId="2" fontId="8" fillId="22" borderId="89" xfId="4" applyNumberFormat="1" applyFont="1" applyFill="1" applyBorder="1" applyAlignment="1" applyProtection="1">
      <alignment horizontal="center" vertical="center"/>
      <protection locked="0"/>
    </xf>
    <xf numFmtId="2" fontId="8" fillId="22" borderId="117" xfId="4" applyNumberFormat="1" applyFont="1" applyFill="1" applyBorder="1" applyAlignment="1" applyProtection="1">
      <alignment horizontal="center" vertical="center"/>
      <protection locked="0"/>
    </xf>
    <xf numFmtId="2" fontId="39" fillId="22" borderId="89" xfId="1" applyNumberFormat="1" applyFont="1" applyFill="1" applyBorder="1" applyAlignment="1" applyProtection="1">
      <alignment horizontal="center" vertical="center" wrapText="1"/>
      <protection locked="0" hidden="1"/>
    </xf>
    <xf numFmtId="2" fontId="8" fillId="22" borderId="95" xfId="4" applyNumberFormat="1" applyFont="1" applyFill="1" applyBorder="1" applyAlignment="1" applyProtection="1">
      <alignment horizontal="center" vertical="center"/>
      <protection locked="0"/>
    </xf>
    <xf numFmtId="2" fontId="39" fillId="22" borderId="95" xfId="1" applyNumberFormat="1" applyFont="1" applyFill="1" applyBorder="1" applyAlignment="1" applyProtection="1">
      <alignment horizontal="center" vertical="center" wrapText="1"/>
      <protection locked="0" hidden="1"/>
    </xf>
    <xf numFmtId="0" fontId="58" fillId="12" borderId="81" xfId="6" applyFont="1" applyBorder="1" applyAlignment="1">
      <alignment horizontal="center" vertical="center"/>
    </xf>
    <xf numFmtId="0" fontId="40" fillId="13" borderId="0" xfId="0" applyFont="1" applyFill="1" applyBorder="1" applyAlignment="1">
      <alignment horizontal="center" vertical="center" wrapText="1"/>
    </xf>
    <xf numFmtId="0" fontId="0" fillId="0" borderId="0" xfId="0" applyBorder="1" applyAlignment="1" applyProtection="1">
      <alignment horizontal="center"/>
      <protection locked="0"/>
    </xf>
    <xf numFmtId="0" fontId="40" fillId="17" borderId="118" xfId="9" applyFont="1" applyBorder="1" applyAlignment="1">
      <alignment horizontal="center"/>
    </xf>
    <xf numFmtId="0" fontId="40" fillId="17" borderId="119" xfId="9" applyFont="1" applyBorder="1" applyAlignment="1">
      <alignment horizontal="center"/>
    </xf>
    <xf numFmtId="0" fontId="40" fillId="17" borderId="120" xfId="9" applyFont="1" applyBorder="1" applyAlignment="1">
      <alignment horizontal="center"/>
    </xf>
    <xf numFmtId="0" fontId="26" fillId="26" borderId="128" xfId="0" applyFont="1" applyFill="1" applyBorder="1" applyAlignment="1">
      <alignment horizontal="center"/>
    </xf>
    <xf numFmtId="0" fontId="26" fillId="26" borderId="60" xfId="0" applyFont="1" applyFill="1" applyBorder="1" applyAlignment="1">
      <alignment horizontal="center"/>
    </xf>
    <xf numFmtId="0" fontId="0" fillId="0" borderId="149" xfId="0" applyBorder="1" applyAlignment="1" applyProtection="1">
      <alignment horizontal="center"/>
      <protection locked="0"/>
    </xf>
    <xf numFmtId="0" fontId="26" fillId="26" borderId="126" xfId="0" applyFont="1" applyFill="1" applyBorder="1" applyAlignment="1">
      <alignment horizontal="center"/>
    </xf>
    <xf numFmtId="0" fontId="26" fillId="26" borderId="127" xfId="0" applyFont="1" applyFill="1" applyBorder="1" applyAlignment="1">
      <alignment horizontal="center"/>
    </xf>
    <xf numFmtId="0" fontId="63" fillId="15" borderId="0" xfId="0" applyFont="1" applyFill="1" applyBorder="1" applyAlignment="1" applyProtection="1">
      <alignment horizontal="center" wrapText="1"/>
    </xf>
    <xf numFmtId="0" fontId="66" fillId="27" borderId="138" xfId="12" applyFill="1" applyBorder="1" applyAlignment="1" applyProtection="1">
      <alignment horizontal="center" vertical="center" wrapText="1"/>
    </xf>
    <xf numFmtId="0" fontId="66" fillId="27" borderId="138" xfId="12" applyFill="1" applyBorder="1" applyAlignment="1" applyProtection="1">
      <alignment horizontal="center" vertical="center"/>
    </xf>
    <xf numFmtId="164" fontId="31" fillId="3" borderId="0" xfId="0" applyNumberFormat="1" applyFont="1" applyFill="1" applyBorder="1" applyAlignment="1" applyProtection="1">
      <alignment horizontal="center" vertical="center"/>
    </xf>
    <xf numFmtId="168" fontId="30" fillId="26" borderId="0" xfId="0" applyNumberFormat="1" applyFont="1" applyFill="1" applyBorder="1" applyAlignment="1" applyProtection="1">
      <alignment horizontal="center" vertical="center"/>
    </xf>
    <xf numFmtId="0" fontId="35" fillId="26" borderId="137" xfId="8" applyFill="1" applyBorder="1" applyAlignment="1" applyProtection="1">
      <alignment horizontal="center" vertical="center" wrapText="1"/>
    </xf>
    <xf numFmtId="0" fontId="35" fillId="26" borderId="142" xfId="8" applyFill="1" applyBorder="1" applyAlignment="1" applyProtection="1">
      <alignment horizontal="center" vertical="center" wrapText="1"/>
    </xf>
    <xf numFmtId="0" fontId="65" fillId="20" borderId="136" xfId="11" applyFont="1" applyBorder="1" applyAlignment="1" applyProtection="1">
      <alignment horizontal="center" vertical="center" wrapText="1"/>
    </xf>
    <xf numFmtId="0" fontId="65" fillId="20" borderId="144" xfId="11" applyFont="1" applyBorder="1" applyAlignment="1" applyProtection="1">
      <alignment horizontal="center" vertical="center" wrapText="1"/>
    </xf>
    <xf numFmtId="0" fontId="0" fillId="15" borderId="0" xfId="0" applyFill="1" applyBorder="1" applyAlignment="1" applyProtection="1">
      <alignment horizontal="center"/>
    </xf>
    <xf numFmtId="0" fontId="69" fillId="15" borderId="0" xfId="6" applyFont="1" applyFill="1" applyBorder="1" applyAlignment="1" applyProtection="1">
      <alignment horizontal="center" vertical="center"/>
    </xf>
    <xf numFmtId="164" fontId="31" fillId="3" borderId="24" xfId="0" applyNumberFormat="1" applyFont="1" applyFill="1" applyBorder="1" applyAlignment="1" applyProtection="1">
      <alignment horizontal="center" vertical="center"/>
      <protection locked="0"/>
    </xf>
    <xf numFmtId="164" fontId="31" fillId="3" borderId="61" xfId="0" applyNumberFormat="1" applyFont="1" applyFill="1" applyBorder="1" applyAlignment="1" applyProtection="1">
      <alignment horizontal="center" vertical="center"/>
      <protection locked="0"/>
    </xf>
    <xf numFmtId="164" fontId="31" fillId="3" borderId="62" xfId="0" applyNumberFormat="1" applyFont="1" applyFill="1" applyBorder="1" applyAlignment="1" applyProtection="1">
      <alignment horizontal="center" vertical="center"/>
      <protection locked="0"/>
    </xf>
    <xf numFmtId="164" fontId="31" fillId="3" borderId="28" xfId="0" applyNumberFormat="1" applyFont="1" applyFill="1" applyBorder="1" applyAlignment="1" applyProtection="1">
      <alignment horizontal="center" vertical="center"/>
      <protection locked="0"/>
    </xf>
    <xf numFmtId="164" fontId="31" fillId="3" borderId="133" xfId="0" applyNumberFormat="1" applyFont="1" applyFill="1" applyBorder="1" applyAlignment="1" applyProtection="1">
      <alignment horizontal="center" vertical="center"/>
      <protection locked="0"/>
    </xf>
    <xf numFmtId="168" fontId="30" fillId="6" borderId="0" xfId="0" applyNumberFormat="1" applyFont="1" applyFill="1" applyBorder="1" applyAlignment="1" applyProtection="1">
      <alignment horizontal="center" vertical="center"/>
    </xf>
    <xf numFmtId="0" fontId="35" fillId="26" borderId="146" xfId="8" applyFill="1" applyBorder="1" applyAlignment="1" applyProtection="1">
      <alignment horizontal="center" vertical="center" wrapText="1"/>
    </xf>
    <xf numFmtId="0" fontId="35" fillId="26" borderId="145" xfId="8" applyFill="1" applyBorder="1" applyAlignment="1" applyProtection="1">
      <alignment horizontal="center" vertical="center" wrapText="1"/>
    </xf>
    <xf numFmtId="0" fontId="22" fillId="0" borderId="25" xfId="7" applyFont="1" applyBorder="1" applyAlignment="1" applyProtection="1">
      <alignment horizontal="center" vertical="center" wrapText="1"/>
      <protection hidden="1"/>
    </xf>
    <xf numFmtId="0" fontId="23" fillId="0" borderId="58" xfId="7" applyFont="1" applyBorder="1" applyAlignment="1" applyProtection="1">
      <alignment horizontal="center" vertical="center" wrapText="1"/>
      <protection hidden="1"/>
    </xf>
    <xf numFmtId="0" fontId="23" fillId="0" borderId="27" xfId="7" applyFont="1" applyBorder="1" applyAlignment="1" applyProtection="1">
      <alignment horizontal="center" vertical="center" wrapText="1"/>
      <protection hidden="1"/>
    </xf>
    <xf numFmtId="0" fontId="22" fillId="0" borderId="0" xfId="0" applyFont="1" applyAlignment="1" applyProtection="1">
      <alignment horizontal="center"/>
      <protection hidden="1"/>
    </xf>
    <xf numFmtId="0" fontId="83" fillId="22" borderId="6" xfId="0" applyFont="1" applyFill="1" applyBorder="1" applyAlignment="1"/>
    <xf numFmtId="0" fontId="81" fillId="22" borderId="173" xfId="13" applyFont="1" applyFill="1" applyBorder="1" applyAlignment="1">
      <alignment horizontal="center" vertical="center"/>
    </xf>
    <xf numFmtId="0" fontId="81" fillId="22" borderId="175" xfId="13" applyFont="1" applyFill="1" applyBorder="1" applyAlignment="1">
      <alignment horizontal="center" vertical="center"/>
    </xf>
    <xf numFmtId="0" fontId="1" fillId="23" borderId="31" xfId="4" applyFont="1" applyFill="1" applyBorder="1" applyProtection="1">
      <protection locked="0"/>
    </xf>
    <xf numFmtId="0" fontId="1" fillId="22" borderId="31" xfId="4" applyFont="1" applyFill="1" applyBorder="1" applyProtection="1">
      <protection locked="0"/>
    </xf>
    <xf numFmtId="0" fontId="88" fillId="15" borderId="0" xfId="0" applyFont="1" applyFill="1"/>
    <xf numFmtId="0" fontId="40" fillId="13" borderId="79" xfId="0" applyFont="1" applyFill="1" applyBorder="1" applyAlignment="1">
      <alignment horizontal="center" vertical="center" wrapText="1"/>
    </xf>
    <xf numFmtId="0" fontId="67" fillId="15" borderId="0" xfId="0" applyFont="1" applyFill="1" applyBorder="1" applyAlignment="1"/>
    <xf numFmtId="0" fontId="87" fillId="28" borderId="173" xfId="13" applyFont="1" applyFill="1" applyBorder="1" applyAlignment="1">
      <alignment horizontal="center" vertical="center" wrapText="1"/>
    </xf>
    <xf numFmtId="0" fontId="87" fillId="28" borderId="149" xfId="13" applyFont="1" applyFill="1" applyBorder="1" applyAlignment="1">
      <alignment horizontal="center" vertical="center" wrapText="1"/>
    </xf>
    <xf numFmtId="0" fontId="87" fillId="28" borderId="174" xfId="13" applyFont="1" applyFill="1" applyBorder="1" applyAlignment="1">
      <alignment horizontal="center" vertical="center" wrapText="1"/>
    </xf>
    <xf numFmtId="0" fontId="86" fillId="22" borderId="149" xfId="13" applyFont="1" applyFill="1" applyBorder="1" applyAlignment="1">
      <alignment horizontal="center" vertical="center" wrapText="1"/>
    </xf>
    <xf numFmtId="0" fontId="86" fillId="22" borderId="174" xfId="13" applyFont="1" applyFill="1" applyBorder="1" applyAlignment="1">
      <alignment horizontal="center" vertical="center" wrapText="1"/>
    </xf>
    <xf numFmtId="0" fontId="86" fillId="22" borderId="0" xfId="13" applyFont="1" applyFill="1" applyBorder="1" applyAlignment="1">
      <alignment horizontal="center" vertical="center" wrapText="1"/>
    </xf>
    <xf numFmtId="0" fontId="86" fillId="22" borderId="176" xfId="13" applyFont="1" applyFill="1" applyBorder="1" applyAlignment="1">
      <alignment horizontal="center" vertical="center" wrapText="1"/>
    </xf>
    <xf numFmtId="0" fontId="61" fillId="15" borderId="0" xfId="0" applyFont="1" applyFill="1" applyBorder="1" applyAlignment="1" applyProtection="1">
      <alignment horizontal="center"/>
    </xf>
    <xf numFmtId="0" fontId="29" fillId="22" borderId="60" xfId="0" applyFont="1" applyFill="1" applyBorder="1" applyAlignment="1" applyProtection="1">
      <alignment horizontal="center" vertical="center"/>
    </xf>
    <xf numFmtId="0" fontId="29" fillId="22" borderId="60" xfId="0" applyFont="1" applyFill="1" applyBorder="1" applyAlignment="1" applyProtection="1">
      <alignment horizontal="center"/>
    </xf>
    <xf numFmtId="14" fontId="29" fillId="22" borderId="60" xfId="0" applyNumberFormat="1" applyFont="1" applyFill="1" applyBorder="1" applyAlignment="1" applyProtection="1">
      <alignment horizontal="center"/>
    </xf>
    <xf numFmtId="0" fontId="40" fillId="13" borderId="74" xfId="5" applyFont="1" applyFill="1" applyBorder="1" applyAlignment="1" applyProtection="1">
      <alignment horizontal="center" vertical="center" wrapText="1"/>
    </xf>
    <xf numFmtId="0" fontId="40" fillId="13" borderId="75" xfId="5" applyFont="1" applyFill="1" applyBorder="1" applyAlignment="1" applyProtection="1">
      <alignment horizontal="center" vertical="center" wrapText="1"/>
    </xf>
    <xf numFmtId="0" fontId="40" fillId="13" borderId="76" xfId="5" applyFont="1" applyFill="1" applyBorder="1" applyAlignment="1" applyProtection="1">
      <alignment horizontal="center" vertical="center" wrapText="1"/>
    </xf>
    <xf numFmtId="22" fontId="29" fillId="5" borderId="60" xfId="0" applyNumberFormat="1" applyFont="1" applyFill="1" applyBorder="1" applyAlignment="1" applyProtection="1">
      <alignment horizontal="center"/>
    </xf>
    <xf numFmtId="14" fontId="18" fillId="5" borderId="60" xfId="0" applyNumberFormat="1" applyFont="1" applyFill="1" applyBorder="1" applyAlignment="1" applyProtection="1">
      <alignment horizontal="center"/>
    </xf>
    <xf numFmtId="0" fontId="29" fillId="5" borderId="60" xfId="0" applyFont="1" applyFill="1" applyBorder="1" applyAlignment="1" applyProtection="1">
      <alignment horizontal="center" vertical="center"/>
    </xf>
    <xf numFmtId="0" fontId="29" fillId="5" borderId="60" xfId="0" applyFont="1" applyFill="1" applyBorder="1" applyAlignment="1" applyProtection="1">
      <alignment horizontal="center"/>
    </xf>
    <xf numFmtId="2" fontId="34" fillId="22" borderId="77" xfId="4" applyNumberFormat="1" applyFill="1" applyBorder="1" applyAlignment="1" applyProtection="1">
      <alignment horizontal="center" vertical="center"/>
      <protection locked="0"/>
    </xf>
    <xf numFmtId="2" fontId="34" fillId="22" borderId="78" xfId="4" applyNumberFormat="1" applyFill="1" applyBorder="1" applyAlignment="1" applyProtection="1">
      <alignment horizontal="center" vertical="center"/>
      <protection locked="0"/>
    </xf>
    <xf numFmtId="22" fontId="18" fillId="5" borderId="60" xfId="0" applyNumberFormat="1" applyFont="1" applyFill="1" applyBorder="1" applyAlignment="1" applyProtection="1">
      <alignment horizontal="center"/>
    </xf>
    <xf numFmtId="2" fontId="5" fillId="22" borderId="77" xfId="4" applyNumberFormat="1" applyFont="1" applyFill="1" applyBorder="1" applyAlignment="1" applyProtection="1">
      <alignment horizontal="center" vertical="center"/>
      <protection locked="0"/>
    </xf>
    <xf numFmtId="2" fontId="5" fillId="22" borderId="78" xfId="4" applyNumberFormat="1" applyFont="1" applyFill="1" applyBorder="1" applyAlignment="1" applyProtection="1">
      <alignment horizontal="center" vertical="center"/>
      <protection locked="0"/>
    </xf>
    <xf numFmtId="2" fontId="5" fillId="22" borderId="77" xfId="4" applyNumberFormat="1" applyFont="1" applyFill="1" applyBorder="1" applyAlignment="1" applyProtection="1">
      <alignment horizontal="center" vertical="center" wrapText="1"/>
      <protection locked="0"/>
    </xf>
    <xf numFmtId="2" fontId="5" fillId="22" borderId="78" xfId="4" applyNumberFormat="1" applyFont="1" applyFill="1" applyBorder="1" applyAlignment="1" applyProtection="1">
      <alignment horizontal="center" vertical="center" wrapText="1"/>
      <protection locked="0"/>
    </xf>
    <xf numFmtId="1" fontId="34" fillId="22" borderId="77" xfId="4" applyNumberFormat="1" applyFill="1" applyBorder="1" applyAlignment="1" applyProtection="1">
      <alignment horizontal="center" vertical="center"/>
      <protection locked="0"/>
    </xf>
    <xf numFmtId="1" fontId="34" fillId="22" borderId="78" xfId="4" applyNumberFormat="1" applyFill="1" applyBorder="1" applyAlignment="1" applyProtection="1">
      <alignment horizontal="center" vertical="center"/>
      <protection locked="0"/>
    </xf>
    <xf numFmtId="0" fontId="52" fillId="14" borderId="0" xfId="0" applyFont="1" applyFill="1" applyBorder="1" applyAlignment="1" applyProtection="1">
      <alignment horizontal="center"/>
    </xf>
    <xf numFmtId="0" fontId="53" fillId="14" borderId="0" xfId="0" applyFont="1" applyFill="1" applyBorder="1" applyAlignment="1" applyProtection="1">
      <alignment horizontal="center"/>
    </xf>
    <xf numFmtId="0" fontId="57" fillId="12" borderId="0" xfId="6" applyFont="1" applyBorder="1" applyAlignment="1" applyProtection="1">
      <alignment horizontal="center" vertical="center" wrapText="1"/>
    </xf>
    <xf numFmtId="0" fontId="60" fillId="26" borderId="0" xfId="0" applyFont="1" applyFill="1" applyBorder="1" applyAlignment="1" applyProtection="1">
      <alignment horizontal="center" vertical="center"/>
    </xf>
    <xf numFmtId="22" fontId="18" fillId="5" borderId="0" xfId="0" applyNumberFormat="1" applyFont="1" applyFill="1" applyBorder="1" applyAlignment="1" applyProtection="1">
      <alignment horizontal="center"/>
    </xf>
    <xf numFmtId="0" fontId="18" fillId="5" borderId="60" xfId="0" applyFont="1" applyFill="1" applyBorder="1" applyAlignment="1" applyProtection="1">
      <alignment horizontal="center"/>
    </xf>
    <xf numFmtId="0" fontId="18" fillId="5" borderId="60" xfId="0" applyFont="1" applyFill="1" applyBorder="1" applyAlignment="1" applyProtection="1">
      <alignment horizontal="center" vertical="center"/>
    </xf>
    <xf numFmtId="0" fontId="60" fillId="26" borderId="74" xfId="0" applyFont="1" applyFill="1" applyBorder="1" applyAlignment="1" applyProtection="1">
      <alignment horizontal="center" vertical="center"/>
    </xf>
    <xf numFmtId="0" fontId="60" fillId="26" borderId="75" xfId="0" applyFont="1" applyFill="1" applyBorder="1" applyAlignment="1" applyProtection="1">
      <alignment horizontal="center" vertical="center"/>
    </xf>
    <xf numFmtId="0" fontId="60" fillId="26" borderId="76" xfId="0" applyFont="1" applyFill="1" applyBorder="1" applyAlignment="1" applyProtection="1">
      <alignment horizontal="center" vertical="center"/>
    </xf>
    <xf numFmtId="0" fontId="40" fillId="13" borderId="0" xfId="0" applyFont="1" applyFill="1" applyBorder="1" applyAlignment="1">
      <alignment horizontal="center" vertical="center"/>
    </xf>
    <xf numFmtId="0" fontId="40" fillId="13" borderId="79" xfId="0" applyFont="1" applyFill="1" applyBorder="1" applyAlignment="1">
      <alignment horizontal="center" vertical="center"/>
    </xf>
    <xf numFmtId="0" fontId="60" fillId="26" borderId="80" xfId="0" applyFont="1" applyFill="1" applyBorder="1" applyAlignment="1">
      <alignment horizontal="center" vertical="center"/>
    </xf>
    <xf numFmtId="0" fontId="60" fillId="26" borderId="81" xfId="0" applyFont="1" applyFill="1" applyBorder="1" applyAlignment="1">
      <alignment horizontal="center" vertical="center"/>
    </xf>
    <xf numFmtId="0" fontId="60" fillId="26" borderId="82" xfId="0" applyFont="1" applyFill="1" applyBorder="1" applyAlignment="1">
      <alignment horizontal="center" vertical="center"/>
    </xf>
    <xf numFmtId="0" fontId="40" fillId="13" borderId="83" xfId="0" applyFont="1" applyFill="1" applyBorder="1" applyAlignment="1">
      <alignment horizontal="center" vertical="center"/>
    </xf>
    <xf numFmtId="0" fontId="40" fillId="13" borderId="177" xfId="0" applyFont="1" applyFill="1" applyBorder="1" applyAlignment="1">
      <alignment horizontal="center" vertical="center"/>
    </xf>
    <xf numFmtId="0" fontId="60" fillId="26" borderId="74" xfId="0" applyFont="1" applyFill="1" applyBorder="1" applyAlignment="1">
      <alignment horizontal="center" vertical="center"/>
    </xf>
    <xf numFmtId="0" fontId="60" fillId="26" borderId="75" xfId="0" applyFont="1" applyFill="1" applyBorder="1" applyAlignment="1">
      <alignment horizontal="center" vertical="center"/>
    </xf>
    <xf numFmtId="0" fontId="60" fillId="26" borderId="76" xfId="0" applyFont="1" applyFill="1" applyBorder="1" applyAlignment="1">
      <alignment horizontal="center" vertical="center"/>
    </xf>
    <xf numFmtId="0" fontId="0" fillId="5" borderId="60" xfId="0" applyFill="1" applyBorder="1" applyAlignment="1">
      <alignment horizontal="center"/>
    </xf>
    <xf numFmtId="14" fontId="0" fillId="5" borderId="60" xfId="0" applyNumberFormat="1" applyFill="1" applyBorder="1" applyAlignment="1">
      <alignment horizontal="center"/>
    </xf>
    <xf numFmtId="0" fontId="57" fillId="12" borderId="0" xfId="6" applyFont="1" applyBorder="1" applyAlignment="1">
      <alignment horizontal="center" vertical="center"/>
    </xf>
    <xf numFmtId="0" fontId="61" fillId="15" borderId="0" xfId="0" applyFont="1" applyFill="1" applyBorder="1" applyAlignment="1">
      <alignment horizontal="center"/>
    </xf>
    <xf numFmtId="0" fontId="40" fillId="17" borderId="178" xfId="9" applyFont="1" applyBorder="1" applyAlignment="1">
      <alignment horizontal="center"/>
    </xf>
    <xf numFmtId="0" fontId="40" fillId="17" borderId="179" xfId="9" applyFont="1" applyBorder="1" applyAlignment="1">
      <alignment horizontal="center"/>
    </xf>
    <xf numFmtId="0" fontId="60" fillId="26" borderId="74" xfId="0" applyFont="1" applyFill="1" applyBorder="1" applyAlignment="1" applyProtection="1">
      <alignment horizontal="center" vertical="center" wrapText="1"/>
      <protection locked="0"/>
    </xf>
    <xf numFmtId="0" fontId="60" fillId="26" borderId="75" xfId="0" applyFont="1" applyFill="1" applyBorder="1" applyAlignment="1" applyProtection="1">
      <alignment horizontal="center" vertical="center" wrapText="1"/>
      <protection locked="0"/>
    </xf>
    <xf numFmtId="0" fontId="60" fillId="26" borderId="74" xfId="0" applyFont="1" applyFill="1" applyBorder="1" applyAlignment="1" applyProtection="1">
      <alignment horizontal="center" vertical="center"/>
      <protection locked="0"/>
    </xf>
    <xf numFmtId="0" fontId="60" fillId="26" borderId="75" xfId="0" applyFont="1" applyFill="1" applyBorder="1" applyAlignment="1" applyProtection="1">
      <alignment horizontal="center" vertical="center"/>
      <protection locked="0"/>
    </xf>
    <xf numFmtId="0" fontId="0" fillId="5" borderId="60" xfId="0" applyFill="1" applyBorder="1" applyAlignment="1" applyProtection="1">
      <alignment horizontal="center"/>
    </xf>
    <xf numFmtId="14" fontId="0" fillId="5" borderId="60" xfId="0" applyNumberFormat="1" applyFill="1" applyBorder="1" applyAlignment="1" applyProtection="1">
      <alignment horizontal="center"/>
    </xf>
  </cellXfs>
  <cellStyles count="14">
    <cellStyle name="20% - Énfasis1" xfId="1" builtinId="30"/>
    <cellStyle name="20% - Énfasis3" xfId="2" builtinId="38"/>
    <cellStyle name="40% - Énfasis1" xfId="3" builtinId="31"/>
    <cellStyle name="40% - Énfasis3" xfId="4" builtinId="39"/>
    <cellStyle name="40% - Énfasis4" xfId="11" builtinId="43"/>
    <cellStyle name="Cálculo" xfId="9" builtinId="22"/>
    <cellStyle name="Énfasis1" xfId="5" builtinId="29"/>
    <cellStyle name="Énfasis2" xfId="8" builtinId="33"/>
    <cellStyle name="Énfasis4" xfId="10" builtinId="41"/>
    <cellStyle name="Neutral" xfId="6" builtinId="28"/>
    <cellStyle name="Normal" xfId="0" builtinId="0"/>
    <cellStyle name="Normal 2" xfId="13" xr:uid="{00000000-0005-0000-0000-00000B000000}"/>
    <cellStyle name="Normal_Radiación" xfId="7" xr:uid="{00000000-0005-0000-0000-00000C000000}"/>
    <cellStyle name="Salida" xfId="12"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733426</xdr:colOff>
      <xdr:row>1</xdr:row>
      <xdr:rowOff>101600</xdr:rowOff>
    </xdr:from>
    <xdr:to>
      <xdr:col>8</xdr:col>
      <xdr:colOff>428626</xdr:colOff>
      <xdr:row>10</xdr:row>
      <xdr:rowOff>46170</xdr:rowOff>
    </xdr:to>
    <xdr:pic>
      <xdr:nvPicPr>
        <xdr:cNvPr id="2" name="Obraz 4">
          <a:extLst>
            <a:ext uri="{FF2B5EF4-FFF2-40B4-BE49-F238E27FC236}">
              <a16:creationId xmlns:a16="http://schemas.microsoft.com/office/drawing/2014/main" id="{7E345F2C-F574-4933-8900-74EC13535C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9426" y="292100"/>
          <a:ext cx="6394450" cy="15161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590550</xdr:colOff>
      <xdr:row>2</xdr:row>
      <xdr:rowOff>28575</xdr:rowOff>
    </xdr:from>
    <xdr:to>
      <xdr:col>13</xdr:col>
      <xdr:colOff>495300</xdr:colOff>
      <xdr:row>12</xdr:row>
      <xdr:rowOff>154931</xdr:rowOff>
    </xdr:to>
    <xdr:pic>
      <xdr:nvPicPr>
        <xdr:cNvPr id="2" name="Obraz 4">
          <a:extLst>
            <a:ext uri="{FF2B5EF4-FFF2-40B4-BE49-F238E27FC236}">
              <a16:creationId xmlns:a16="http://schemas.microsoft.com/office/drawing/2014/main" id="{C393EF97-8B93-4516-A780-AAE5AA76BA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0" y="352425"/>
          <a:ext cx="7115175" cy="1745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0</xdr:row>
      <xdr:rowOff>85725</xdr:rowOff>
    </xdr:from>
    <xdr:to>
      <xdr:col>11</xdr:col>
      <xdr:colOff>201719</xdr:colOff>
      <xdr:row>12</xdr:row>
      <xdr:rowOff>59235</xdr:rowOff>
    </xdr:to>
    <xdr:pic>
      <xdr:nvPicPr>
        <xdr:cNvPr id="2" name="Obraz 4">
          <a:extLst>
            <a:ext uri="{FF2B5EF4-FFF2-40B4-BE49-F238E27FC236}">
              <a16:creationId xmlns:a16="http://schemas.microsoft.com/office/drawing/2014/main" id="{D33A69B4-2DA9-4159-BA34-5B8DFE1C66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 y="85725"/>
          <a:ext cx="7812194" cy="19166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460375</xdr:colOff>
      <xdr:row>0</xdr:row>
      <xdr:rowOff>0</xdr:rowOff>
    </xdr:from>
    <xdr:to>
      <xdr:col>14</xdr:col>
      <xdr:colOff>652569</xdr:colOff>
      <xdr:row>12</xdr:row>
      <xdr:rowOff>11610</xdr:rowOff>
    </xdr:to>
    <xdr:pic>
      <xdr:nvPicPr>
        <xdr:cNvPr id="2" name="Obraz 4">
          <a:extLst>
            <a:ext uri="{FF2B5EF4-FFF2-40B4-BE49-F238E27FC236}">
              <a16:creationId xmlns:a16="http://schemas.microsoft.com/office/drawing/2014/main" id="{6B307963-11ED-4D84-B978-E48A8392B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8375" y="0"/>
          <a:ext cx="7812194" cy="19166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561975</xdr:colOff>
      <xdr:row>0</xdr:row>
      <xdr:rowOff>85725</xdr:rowOff>
    </xdr:from>
    <xdr:to>
      <xdr:col>11</xdr:col>
      <xdr:colOff>361950</xdr:colOff>
      <xdr:row>11</xdr:row>
      <xdr:rowOff>50156</xdr:rowOff>
    </xdr:to>
    <xdr:pic>
      <xdr:nvPicPr>
        <xdr:cNvPr id="2" name="Obraz 4">
          <a:extLst>
            <a:ext uri="{FF2B5EF4-FFF2-40B4-BE49-F238E27FC236}">
              <a16:creationId xmlns:a16="http://schemas.microsoft.com/office/drawing/2014/main" id="{B4FC2791-DE4A-4234-B1F1-62464DCC21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5975" y="85725"/>
          <a:ext cx="7115175" cy="17456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219075</xdr:colOff>
      <xdr:row>1</xdr:row>
      <xdr:rowOff>0</xdr:rowOff>
    </xdr:from>
    <xdr:to>
      <xdr:col>12</xdr:col>
      <xdr:colOff>314325</xdr:colOff>
      <xdr:row>11</xdr:row>
      <xdr:rowOff>126356</xdr:rowOff>
    </xdr:to>
    <xdr:pic>
      <xdr:nvPicPr>
        <xdr:cNvPr id="2" name="Obraz 4">
          <a:extLst>
            <a:ext uri="{FF2B5EF4-FFF2-40B4-BE49-F238E27FC236}">
              <a16:creationId xmlns:a16="http://schemas.microsoft.com/office/drawing/2014/main" id="{14931A9B-9D58-4BD5-A4DA-C352AEBECF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5075" y="161925"/>
          <a:ext cx="7115175" cy="17456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66675</xdr:colOff>
      <xdr:row>0</xdr:row>
      <xdr:rowOff>57150</xdr:rowOff>
    </xdr:from>
    <xdr:to>
      <xdr:col>11</xdr:col>
      <xdr:colOff>0</xdr:colOff>
      <xdr:row>11</xdr:row>
      <xdr:rowOff>21581</xdr:rowOff>
    </xdr:to>
    <xdr:pic>
      <xdr:nvPicPr>
        <xdr:cNvPr id="2" name="Obraz 4">
          <a:extLst>
            <a:ext uri="{FF2B5EF4-FFF2-40B4-BE49-F238E27FC236}">
              <a16:creationId xmlns:a16="http://schemas.microsoft.com/office/drawing/2014/main" id="{A2ECD3F8-C8BB-49EB-BA83-5984E3C0D9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5" y="57150"/>
          <a:ext cx="7115175" cy="17456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514350</xdr:colOff>
      <xdr:row>1</xdr:row>
      <xdr:rowOff>95250</xdr:rowOff>
    </xdr:from>
    <xdr:to>
      <xdr:col>8</xdr:col>
      <xdr:colOff>190500</xdr:colOff>
      <xdr:row>12</xdr:row>
      <xdr:rowOff>59681</xdr:rowOff>
    </xdr:to>
    <xdr:pic>
      <xdr:nvPicPr>
        <xdr:cNvPr id="2" name="Obraz 4">
          <a:extLst>
            <a:ext uri="{FF2B5EF4-FFF2-40B4-BE49-F238E27FC236}">
              <a16:creationId xmlns:a16="http://schemas.microsoft.com/office/drawing/2014/main" id="{135EEA5A-F060-4877-B780-583A003190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8350" y="257175"/>
          <a:ext cx="7115175" cy="17456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542925</xdr:colOff>
      <xdr:row>0</xdr:row>
      <xdr:rowOff>95250</xdr:rowOff>
    </xdr:from>
    <xdr:to>
      <xdr:col>11</xdr:col>
      <xdr:colOff>180975</xdr:colOff>
      <xdr:row>11</xdr:row>
      <xdr:rowOff>59681</xdr:rowOff>
    </xdr:to>
    <xdr:pic>
      <xdr:nvPicPr>
        <xdr:cNvPr id="2" name="Obraz 4">
          <a:extLst>
            <a:ext uri="{FF2B5EF4-FFF2-40B4-BE49-F238E27FC236}">
              <a16:creationId xmlns:a16="http://schemas.microsoft.com/office/drawing/2014/main" id="{6D6AB5A1-DE15-4554-9AE9-3BB36A9B3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6925" y="95250"/>
          <a:ext cx="7115175" cy="17456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171450</xdr:colOff>
      <xdr:row>0</xdr:row>
      <xdr:rowOff>133350</xdr:rowOff>
    </xdr:from>
    <xdr:to>
      <xdr:col>14</xdr:col>
      <xdr:colOff>428625</xdr:colOff>
      <xdr:row>11</xdr:row>
      <xdr:rowOff>97781</xdr:rowOff>
    </xdr:to>
    <xdr:pic>
      <xdr:nvPicPr>
        <xdr:cNvPr id="2" name="Obraz 4">
          <a:extLst>
            <a:ext uri="{FF2B5EF4-FFF2-40B4-BE49-F238E27FC236}">
              <a16:creationId xmlns:a16="http://schemas.microsoft.com/office/drawing/2014/main" id="{DC2A3D33-951B-4604-93E1-5021279421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1450" y="133350"/>
          <a:ext cx="7115175" cy="17456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3"/>
  <sheetViews>
    <sheetView topLeftCell="A13" zoomScale="60" zoomScaleNormal="60" workbookViewId="0">
      <selection activeCell="Q30" sqref="Q30"/>
    </sheetView>
  </sheetViews>
  <sheetFormatPr baseColWidth="10" defaultRowHeight="12.75"/>
  <cols>
    <col min="5" max="5" width="54.7109375" bestFit="1" customWidth="1"/>
  </cols>
  <sheetData>
    <row r="1" spans="2:11" ht="15">
      <c r="B1" s="386"/>
      <c r="C1" s="386"/>
      <c r="D1" s="386"/>
      <c r="E1" s="386"/>
      <c r="F1" s="386"/>
      <c r="G1" s="386"/>
      <c r="H1" s="386"/>
      <c r="I1" s="386"/>
      <c r="J1" s="386"/>
      <c r="K1" s="386"/>
    </row>
    <row r="2" spans="2:11" ht="14.25">
      <c r="B2" s="387"/>
      <c r="C2" s="388"/>
      <c r="D2" s="388"/>
      <c r="E2" s="388"/>
      <c r="F2" s="388"/>
      <c r="G2" s="388"/>
      <c r="H2" s="388"/>
      <c r="I2" s="388"/>
      <c r="J2" s="388"/>
      <c r="K2" s="389"/>
    </row>
    <row r="3" spans="2:11" ht="14.25">
      <c r="B3" s="390"/>
      <c r="C3" s="391"/>
      <c r="D3" s="391"/>
      <c r="E3" s="391"/>
      <c r="F3" s="391"/>
      <c r="G3" s="391"/>
      <c r="H3" s="391"/>
      <c r="I3" s="391"/>
      <c r="J3" s="391"/>
      <c r="K3" s="392"/>
    </row>
    <row r="4" spans="2:11" ht="14.25">
      <c r="B4" s="390"/>
      <c r="C4" s="391"/>
      <c r="D4" s="391"/>
      <c r="E4" s="391"/>
      <c r="F4" s="391"/>
      <c r="G4" s="391"/>
      <c r="H4" s="391"/>
      <c r="I4" s="391"/>
      <c r="J4" s="391"/>
      <c r="K4" s="392"/>
    </row>
    <row r="5" spans="2:11" ht="14.25">
      <c r="B5" s="390"/>
      <c r="C5" s="391"/>
      <c r="D5" s="391"/>
      <c r="E5" s="391"/>
      <c r="F5" s="391"/>
      <c r="G5" s="391"/>
      <c r="H5" s="391"/>
      <c r="I5" s="391"/>
      <c r="J5" s="391"/>
      <c r="K5" s="392"/>
    </row>
    <row r="6" spans="2:11" ht="14.25">
      <c r="B6" s="390"/>
      <c r="C6" s="391"/>
      <c r="D6" s="391"/>
      <c r="E6" s="391"/>
      <c r="F6" s="391"/>
      <c r="G6" s="391"/>
      <c r="H6" s="391"/>
      <c r="I6" s="391"/>
      <c r="J6" s="391"/>
      <c r="K6" s="392"/>
    </row>
    <row r="7" spans="2:11" ht="14.25">
      <c r="B7" s="390"/>
      <c r="C7" s="391"/>
      <c r="D7" s="391"/>
      <c r="E7" s="391"/>
      <c r="F7" s="391"/>
      <c r="G7" s="391"/>
      <c r="H7" s="391"/>
      <c r="I7" s="391"/>
      <c r="J7" s="391"/>
      <c r="K7" s="392"/>
    </row>
    <row r="8" spans="2:11" ht="14.25">
      <c r="B8" s="390"/>
      <c r="C8" s="391"/>
      <c r="D8" s="391"/>
      <c r="E8" s="391"/>
      <c r="F8" s="391"/>
      <c r="G8" s="391"/>
      <c r="H8" s="391"/>
      <c r="I8" s="391"/>
      <c r="J8" s="391"/>
      <c r="K8" s="392"/>
    </row>
    <row r="9" spans="2:11" ht="14.25">
      <c r="B9" s="390"/>
      <c r="C9" s="391"/>
      <c r="D9" s="391"/>
      <c r="E9" s="391"/>
      <c r="F9" s="391"/>
      <c r="G9" s="391"/>
      <c r="H9" s="391"/>
      <c r="I9" s="391"/>
      <c r="J9" s="391"/>
      <c r="K9" s="392"/>
    </row>
    <row r="10" spans="2:11" ht="14.25">
      <c r="B10" s="390"/>
      <c r="C10" s="391"/>
      <c r="D10" s="391"/>
      <c r="E10" s="391"/>
      <c r="F10" s="391"/>
      <c r="G10" s="391"/>
      <c r="H10" s="391"/>
      <c r="I10" s="391"/>
      <c r="J10" s="391"/>
      <c r="K10" s="392"/>
    </row>
    <row r="11" spans="2:11" ht="14.25">
      <c r="B11" s="390"/>
      <c r="C11" s="391"/>
      <c r="D11" s="391"/>
      <c r="E11" s="391"/>
      <c r="F11" s="391"/>
      <c r="G11" s="391"/>
      <c r="H11" s="391"/>
      <c r="I11" s="391"/>
      <c r="J11" s="391"/>
      <c r="K11" s="392"/>
    </row>
    <row r="12" spans="2:11" ht="15.75">
      <c r="B12" s="390"/>
      <c r="C12" s="391"/>
      <c r="D12" s="404" t="s">
        <v>181</v>
      </c>
      <c r="E12" s="547" t="s">
        <v>197</v>
      </c>
      <c r="F12" s="436"/>
      <c r="G12" s="436"/>
      <c r="H12" s="436"/>
      <c r="I12" s="436"/>
      <c r="J12" s="437"/>
      <c r="K12" s="392"/>
    </row>
    <row r="13" spans="2:11" ht="15">
      <c r="B13" s="390"/>
      <c r="C13" s="391"/>
      <c r="D13" s="405"/>
      <c r="E13" s="438"/>
      <c r="F13" s="439"/>
      <c r="G13" s="439"/>
      <c r="H13" s="439"/>
      <c r="I13" s="439"/>
      <c r="J13" s="440"/>
      <c r="K13" s="392"/>
    </row>
    <row r="14" spans="2:11" ht="15">
      <c r="B14" s="390"/>
      <c r="C14" s="391"/>
      <c r="D14" s="405"/>
      <c r="E14" s="441"/>
      <c r="F14" s="442"/>
      <c r="G14" s="442"/>
      <c r="H14" s="442"/>
      <c r="I14" s="442"/>
      <c r="J14" s="443"/>
      <c r="K14" s="392"/>
    </row>
    <row r="15" spans="2:11" ht="15">
      <c r="B15" s="390"/>
      <c r="C15" s="391"/>
      <c r="D15" s="405"/>
      <c r="E15" s="402"/>
      <c r="F15" s="402"/>
      <c r="G15" s="402"/>
      <c r="H15" s="402"/>
      <c r="I15" s="402"/>
      <c r="J15" s="402"/>
      <c r="K15" s="392"/>
    </row>
    <row r="16" spans="2:11" ht="15">
      <c r="B16" s="390"/>
      <c r="C16" s="391"/>
      <c r="D16" s="404" t="s">
        <v>182</v>
      </c>
      <c r="E16" s="444"/>
      <c r="F16" s="445"/>
      <c r="G16" s="445"/>
      <c r="H16" s="445"/>
      <c r="I16" s="445"/>
      <c r="J16" s="446"/>
      <c r="K16" s="392"/>
    </row>
    <row r="17" spans="2:11" ht="15">
      <c r="B17" s="390"/>
      <c r="C17" s="391"/>
      <c r="D17" s="405"/>
      <c r="E17" s="402"/>
      <c r="F17" s="402"/>
      <c r="G17" s="402"/>
      <c r="H17" s="402"/>
      <c r="I17" s="402"/>
      <c r="J17" s="402"/>
      <c r="K17" s="392"/>
    </row>
    <row r="18" spans="2:11" ht="15">
      <c r="B18" s="390"/>
      <c r="C18" s="391"/>
      <c r="D18" s="404" t="s">
        <v>183</v>
      </c>
      <c r="E18" s="448"/>
      <c r="F18" s="449"/>
      <c r="G18" s="449"/>
      <c r="H18" s="449"/>
      <c r="I18" s="449"/>
      <c r="J18" s="450"/>
      <c r="K18" s="392"/>
    </row>
    <row r="19" spans="2:11" ht="15">
      <c r="B19" s="390"/>
      <c r="C19" s="391"/>
      <c r="D19" s="405"/>
      <c r="E19" s="451"/>
      <c r="F19" s="452"/>
      <c r="G19" s="452"/>
      <c r="H19" s="452"/>
      <c r="I19" s="452"/>
      <c r="J19" s="453"/>
      <c r="K19" s="392"/>
    </row>
    <row r="20" spans="2:11" ht="15">
      <c r="B20" s="390"/>
      <c r="C20" s="391"/>
      <c r="D20" s="405"/>
      <c r="E20" s="454"/>
      <c r="F20" s="455"/>
      <c r="G20" s="455"/>
      <c r="H20" s="455"/>
      <c r="I20" s="455"/>
      <c r="J20" s="456"/>
      <c r="K20" s="392"/>
    </row>
    <row r="21" spans="2:11" ht="15">
      <c r="B21" s="390"/>
      <c r="C21" s="391"/>
      <c r="D21" s="405"/>
      <c r="E21" s="402"/>
      <c r="F21" s="402"/>
      <c r="G21" s="402"/>
      <c r="H21" s="402"/>
      <c r="I21" s="402"/>
      <c r="J21" s="402"/>
      <c r="K21" s="392"/>
    </row>
    <row r="22" spans="2:11" ht="15">
      <c r="B22" s="390"/>
      <c r="C22" s="391"/>
      <c r="D22" s="404" t="s">
        <v>184</v>
      </c>
      <c r="E22" s="447">
        <v>43283</v>
      </c>
      <c r="F22" s="445"/>
      <c r="G22" s="445"/>
      <c r="H22" s="445"/>
      <c r="I22" s="445"/>
      <c r="J22" s="446"/>
      <c r="K22" s="392"/>
    </row>
    <row r="23" spans="2:11" ht="14.25">
      <c r="B23" s="390"/>
      <c r="C23" s="391"/>
      <c r="D23" s="391"/>
      <c r="E23" s="391"/>
      <c r="F23" s="391"/>
      <c r="G23" s="391"/>
      <c r="H23" s="391"/>
      <c r="I23" s="391"/>
      <c r="J23" s="391"/>
      <c r="K23" s="392"/>
    </row>
    <row r="24" spans="2:11" ht="14.25">
      <c r="B24" s="390"/>
      <c r="C24" s="391"/>
      <c r="D24" s="391"/>
      <c r="E24" s="391"/>
      <c r="F24" s="391"/>
      <c r="G24" s="391"/>
      <c r="H24" s="391"/>
      <c r="I24" s="391"/>
      <c r="J24" s="391"/>
      <c r="K24" s="392"/>
    </row>
    <row r="25" spans="2:11" ht="14.25">
      <c r="B25" s="390"/>
      <c r="C25" s="391"/>
      <c r="D25" s="391"/>
      <c r="E25" s="391"/>
      <c r="F25" s="391"/>
      <c r="G25" s="391"/>
      <c r="H25" s="391"/>
      <c r="I25" s="391"/>
      <c r="J25" s="391"/>
      <c r="K25" s="392"/>
    </row>
    <row r="26" spans="2:11" ht="39.75" customHeight="1">
      <c r="B26" s="390"/>
      <c r="C26" s="555" t="s">
        <v>185</v>
      </c>
      <c r="D26" s="556"/>
      <c r="E26" s="556"/>
      <c r="F26" s="556"/>
      <c r="G26" s="556"/>
      <c r="H26" s="556"/>
      <c r="I26" s="556"/>
      <c r="J26" s="557"/>
      <c r="K26" s="392"/>
    </row>
    <row r="27" spans="2:11" ht="14.25">
      <c r="B27" s="390"/>
      <c r="C27" s="423"/>
      <c r="D27" s="424"/>
      <c r="E27" s="424"/>
      <c r="F27" s="424"/>
      <c r="G27" s="424"/>
      <c r="H27" s="424"/>
      <c r="I27" s="424"/>
      <c r="J27" s="425"/>
      <c r="K27" s="392"/>
    </row>
    <row r="28" spans="2:11" ht="14.25">
      <c r="B28" s="390"/>
      <c r="C28" s="391"/>
      <c r="D28" s="391"/>
      <c r="E28" s="391"/>
      <c r="F28" s="391"/>
      <c r="G28" s="391"/>
      <c r="H28" s="391"/>
      <c r="I28" s="391"/>
      <c r="J28" s="391"/>
      <c r="K28" s="392"/>
    </row>
    <row r="29" spans="2:11" ht="15">
      <c r="B29" s="390"/>
      <c r="C29" s="391"/>
      <c r="D29" s="401" t="s">
        <v>186</v>
      </c>
      <c r="E29" s="426" t="s">
        <v>196</v>
      </c>
      <c r="F29" s="427"/>
      <c r="G29" s="427"/>
      <c r="H29" s="427"/>
      <c r="I29" s="427"/>
      <c r="J29" s="428"/>
      <c r="K29" s="392"/>
    </row>
    <row r="30" spans="2:11" ht="14.25">
      <c r="B30" s="390"/>
      <c r="C30" s="391"/>
      <c r="D30" s="391"/>
      <c r="E30" s="429"/>
      <c r="F30" s="430"/>
      <c r="G30" s="430"/>
      <c r="H30" s="430"/>
      <c r="I30" s="430"/>
      <c r="J30" s="431"/>
      <c r="K30" s="392"/>
    </row>
    <row r="31" spans="2:11" ht="14.25">
      <c r="B31" s="390"/>
      <c r="C31" s="391"/>
      <c r="D31" s="391"/>
      <c r="E31" s="391"/>
      <c r="F31" s="391"/>
      <c r="G31" s="391"/>
      <c r="H31" s="391"/>
      <c r="I31" s="391"/>
      <c r="J31" s="391"/>
      <c r="K31" s="392"/>
    </row>
    <row r="32" spans="2:11" ht="59.25" customHeight="1">
      <c r="B32" s="390"/>
      <c r="C32" s="548" t="s">
        <v>188</v>
      </c>
      <c r="D32" s="558" t="s">
        <v>187</v>
      </c>
      <c r="E32" s="558"/>
      <c r="F32" s="558"/>
      <c r="G32" s="558"/>
      <c r="H32" s="558"/>
      <c r="I32" s="558"/>
      <c r="J32" s="559"/>
      <c r="K32" s="392"/>
    </row>
    <row r="33" spans="2:11" ht="14.25">
      <c r="B33" s="403"/>
      <c r="C33" s="396"/>
      <c r="D33" s="397"/>
      <c r="E33" s="397"/>
      <c r="F33" s="397"/>
      <c r="G33" s="397"/>
      <c r="H33" s="397"/>
      <c r="I33" s="397"/>
      <c r="J33" s="398"/>
      <c r="K33" s="392"/>
    </row>
    <row r="34" spans="2:11" ht="40.5" customHeight="1">
      <c r="B34" s="403"/>
      <c r="C34" s="549" t="s">
        <v>190</v>
      </c>
      <c r="D34" s="560" t="s">
        <v>189</v>
      </c>
      <c r="E34" s="560"/>
      <c r="F34" s="560"/>
      <c r="G34" s="560"/>
      <c r="H34" s="560"/>
      <c r="I34" s="560"/>
      <c r="J34" s="561"/>
      <c r="K34" s="392"/>
    </row>
    <row r="35" spans="2:11" ht="63" customHeight="1">
      <c r="B35" s="403"/>
      <c r="C35" s="549" t="s">
        <v>192</v>
      </c>
      <c r="D35" s="560" t="s">
        <v>191</v>
      </c>
      <c r="E35" s="560"/>
      <c r="F35" s="560"/>
      <c r="G35" s="560"/>
      <c r="H35" s="560"/>
      <c r="I35" s="560"/>
      <c r="J35" s="561"/>
      <c r="K35" s="392"/>
    </row>
    <row r="36" spans="2:11" ht="54" customHeight="1">
      <c r="B36" s="403"/>
      <c r="C36" s="549" t="s">
        <v>194</v>
      </c>
      <c r="D36" s="560" t="s">
        <v>193</v>
      </c>
      <c r="E36" s="560"/>
      <c r="F36" s="560"/>
      <c r="G36" s="560"/>
      <c r="H36" s="560"/>
      <c r="I36" s="560"/>
      <c r="J36" s="561"/>
      <c r="K36" s="392"/>
    </row>
    <row r="37" spans="2:11" ht="14.25">
      <c r="B37" s="403"/>
      <c r="C37" s="396"/>
      <c r="D37" s="432"/>
      <c r="E37" s="432"/>
      <c r="F37" s="432"/>
      <c r="G37" s="432"/>
      <c r="H37" s="432"/>
      <c r="I37" s="432"/>
      <c r="J37" s="433"/>
      <c r="K37" s="392"/>
    </row>
    <row r="38" spans="2:11" ht="14.25">
      <c r="B38" s="390"/>
      <c r="C38" s="399"/>
      <c r="D38" s="432"/>
      <c r="E38" s="432"/>
      <c r="F38" s="432"/>
      <c r="G38" s="432"/>
      <c r="H38" s="432"/>
      <c r="I38" s="432"/>
      <c r="J38" s="433"/>
      <c r="K38" s="392"/>
    </row>
    <row r="39" spans="2:11" ht="14.25">
      <c r="B39" s="390"/>
      <c r="C39" s="400"/>
      <c r="D39" s="434"/>
      <c r="E39" s="434"/>
      <c r="F39" s="434"/>
      <c r="G39" s="434"/>
      <c r="H39" s="434"/>
      <c r="I39" s="434"/>
      <c r="J39" s="435"/>
      <c r="K39" s="392"/>
    </row>
    <row r="40" spans="2:11" ht="14.25">
      <c r="B40" s="390"/>
      <c r="C40" s="391"/>
      <c r="D40" s="391"/>
      <c r="E40" s="391"/>
      <c r="F40" s="391"/>
      <c r="G40" s="391"/>
      <c r="H40" s="391"/>
      <c r="I40" s="391"/>
      <c r="J40" s="391"/>
      <c r="K40" s="392"/>
    </row>
    <row r="41" spans="2:11" ht="14.25">
      <c r="B41" s="390"/>
      <c r="C41" s="391"/>
      <c r="D41" s="391"/>
      <c r="E41" s="391"/>
      <c r="F41" s="391"/>
      <c r="G41" s="391"/>
      <c r="H41" s="391"/>
      <c r="I41" s="391"/>
      <c r="J41" s="391"/>
      <c r="K41" s="392"/>
    </row>
    <row r="42" spans="2:11" ht="14.25">
      <c r="B42" s="390"/>
      <c r="C42" s="391"/>
      <c r="D42" s="391"/>
      <c r="E42" s="391"/>
      <c r="F42" s="391"/>
      <c r="G42" s="391"/>
      <c r="H42" s="391"/>
      <c r="I42" s="422" t="s">
        <v>195</v>
      </c>
      <c r="J42" s="422"/>
      <c r="K42" s="392"/>
    </row>
    <row r="43" spans="2:11" ht="14.25">
      <c r="B43" s="393"/>
      <c r="C43" s="394"/>
      <c r="D43" s="394"/>
      <c r="E43" s="394"/>
      <c r="F43" s="394"/>
      <c r="G43" s="394"/>
      <c r="H43" s="394"/>
      <c r="I43" s="394"/>
      <c r="J43" s="394"/>
      <c r="K43" s="395"/>
    </row>
  </sheetData>
  <mergeCells count="5">
    <mergeCell ref="C26:J26"/>
    <mergeCell ref="D32:J32"/>
    <mergeCell ref="D34:J34"/>
    <mergeCell ref="D35:J35"/>
    <mergeCell ref="D36:J3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287"/>
  <sheetViews>
    <sheetView topLeftCell="A31" workbookViewId="0">
      <selection activeCell="H49" sqref="H49"/>
    </sheetView>
  </sheetViews>
  <sheetFormatPr baseColWidth="10" defaultRowHeight="12.75"/>
  <cols>
    <col min="4" max="4" width="14" customWidth="1"/>
    <col min="8" max="8" width="11.42578125" customWidth="1"/>
    <col min="9" max="9" width="16.7109375" customWidth="1"/>
  </cols>
  <sheetData>
    <row r="1" spans="1:50">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50">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row>
    <row r="3" spans="1:50">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row>
    <row r="4" spans="1:50">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row>
    <row r="5" spans="1:50">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row>
    <row r="6" spans="1:50">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row>
    <row r="7" spans="1:50">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row>
    <row r="8" spans="1:50">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row>
    <row r="9" spans="1:50">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row>
    <row r="10" spans="1:50">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row>
    <row r="11" spans="1:50">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row>
    <row r="12" spans="1:50">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row>
    <row r="13" spans="1:50">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row>
    <row r="14" spans="1:50">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row>
    <row r="15" spans="1:50">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row>
    <row r="16" spans="1:50">
      <c r="A16" s="50"/>
      <c r="B16" s="177"/>
      <c r="C16" s="178"/>
      <c r="D16" s="178"/>
      <c r="E16" s="178"/>
      <c r="F16" s="178"/>
      <c r="G16" s="178"/>
      <c r="H16" s="178"/>
      <c r="I16" s="178"/>
      <c r="J16" s="178"/>
      <c r="K16" s="178"/>
      <c r="L16" s="178"/>
      <c r="M16" s="178"/>
      <c r="N16" s="178"/>
      <c r="O16" s="178"/>
      <c r="P16" s="178"/>
      <c r="Q16" s="178"/>
      <c r="R16" s="178"/>
      <c r="S16" s="17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8"/>
      <c r="AS16" s="48"/>
      <c r="AT16" s="48"/>
      <c r="AU16" s="48"/>
      <c r="AV16" s="48"/>
      <c r="AW16" s="48"/>
      <c r="AX16" s="48"/>
    </row>
    <row r="17" spans="1:50" ht="15">
      <c r="A17" s="50"/>
      <c r="B17" s="180"/>
      <c r="C17" s="181"/>
      <c r="D17" s="182" t="s">
        <v>202</v>
      </c>
      <c r="E17" s="612" t="str">
        <f>Consumos!D15</f>
        <v>HOUSING</v>
      </c>
      <c r="F17" s="612"/>
      <c r="G17" s="612"/>
      <c r="H17" s="612"/>
      <c r="I17" s="183"/>
      <c r="J17" s="184"/>
      <c r="K17" s="182" t="s">
        <v>204</v>
      </c>
      <c r="L17" s="612" t="str">
        <f>Consumos!H15</f>
        <v>POLAND</v>
      </c>
      <c r="M17" s="612"/>
      <c r="N17" s="612"/>
      <c r="O17" s="612"/>
      <c r="P17" s="184"/>
      <c r="Q17" s="184"/>
      <c r="R17" s="184"/>
      <c r="S17" s="185"/>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8"/>
      <c r="AS17" s="48"/>
      <c r="AT17" s="48"/>
      <c r="AU17" s="48"/>
      <c r="AV17" s="48"/>
      <c r="AW17" s="48"/>
      <c r="AX17" s="48"/>
    </row>
    <row r="18" spans="1:50">
      <c r="A18" s="50"/>
      <c r="B18" s="180"/>
      <c r="C18" s="181"/>
      <c r="D18" s="184"/>
      <c r="E18" s="184"/>
      <c r="F18" s="184"/>
      <c r="G18" s="184"/>
      <c r="H18" s="184"/>
      <c r="I18" s="184"/>
      <c r="J18" s="184"/>
      <c r="K18" s="184"/>
      <c r="L18" s="184"/>
      <c r="M18" s="184"/>
      <c r="N18" s="184"/>
      <c r="O18" s="184"/>
      <c r="P18" s="184"/>
      <c r="Q18" s="184"/>
      <c r="R18" s="184"/>
      <c r="S18" s="185"/>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8"/>
      <c r="AS18" s="48"/>
      <c r="AT18" s="48"/>
      <c r="AU18" s="48"/>
      <c r="AV18" s="48"/>
      <c r="AW18" s="48"/>
      <c r="AX18" s="48"/>
    </row>
    <row r="19" spans="1:50" ht="15">
      <c r="A19" s="50"/>
      <c r="B19" s="180"/>
      <c r="C19" s="181"/>
      <c r="D19" s="182" t="s">
        <v>203</v>
      </c>
      <c r="E19" s="612" t="str">
        <f>Consumos!D17</f>
        <v>VIPSKILLS</v>
      </c>
      <c r="F19" s="612"/>
      <c r="G19" s="612"/>
      <c r="H19" s="612"/>
      <c r="I19" s="183"/>
      <c r="J19" s="184"/>
      <c r="K19" s="182" t="s">
        <v>205</v>
      </c>
      <c r="L19" s="613">
        <f>Consumos!H17</f>
        <v>43285</v>
      </c>
      <c r="M19" s="613"/>
      <c r="N19" s="613"/>
      <c r="O19" s="613"/>
      <c r="P19" s="184"/>
      <c r="Q19" s="184"/>
      <c r="R19" s="184"/>
      <c r="S19" s="185"/>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8"/>
      <c r="AS19" s="48"/>
      <c r="AT19" s="48"/>
      <c r="AU19" s="48"/>
      <c r="AV19" s="48"/>
      <c r="AW19" s="48"/>
      <c r="AX19" s="48"/>
    </row>
    <row r="20" spans="1:50" ht="15">
      <c r="A20" s="50"/>
      <c r="B20" s="180"/>
      <c r="C20" s="181"/>
      <c r="D20" s="182"/>
      <c r="E20" s="186"/>
      <c r="F20" s="186"/>
      <c r="G20" s="186"/>
      <c r="H20" s="186"/>
      <c r="I20" s="183"/>
      <c r="J20" s="184"/>
      <c r="K20" s="184"/>
      <c r="L20" s="187"/>
      <c r="M20" s="186"/>
      <c r="N20" s="186"/>
      <c r="O20" s="186"/>
      <c r="P20" s="184"/>
      <c r="Q20" s="184"/>
      <c r="R20" s="184"/>
      <c r="S20" s="185"/>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8"/>
      <c r="AS20" s="48"/>
      <c r="AT20" s="48"/>
      <c r="AU20" s="48"/>
      <c r="AV20" s="48"/>
      <c r="AW20" s="48"/>
      <c r="AX20" s="48"/>
    </row>
    <row r="21" spans="1:50" ht="20.25">
      <c r="A21" s="50"/>
      <c r="B21" s="180"/>
      <c r="C21" s="184"/>
      <c r="D21" s="562" t="s">
        <v>417</v>
      </c>
      <c r="E21" s="562"/>
      <c r="F21" s="562"/>
      <c r="G21" s="562"/>
      <c r="H21" s="562"/>
      <c r="I21" s="562"/>
      <c r="J21" s="562"/>
      <c r="K21" s="562"/>
      <c r="L21" s="562"/>
      <c r="M21" s="562"/>
      <c r="N21" s="562"/>
      <c r="O21" s="562"/>
      <c r="P21" s="562"/>
      <c r="Q21" s="184"/>
      <c r="R21" s="184"/>
      <c r="S21" s="185"/>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8"/>
      <c r="AS21" s="48"/>
      <c r="AT21" s="48"/>
      <c r="AU21" s="48"/>
      <c r="AV21" s="48"/>
      <c r="AW21" s="48"/>
      <c r="AX21" s="48"/>
    </row>
    <row r="22" spans="1:50" ht="21" thickBot="1">
      <c r="A22" s="50"/>
      <c r="B22" s="180"/>
      <c r="C22" s="184"/>
      <c r="D22" s="188"/>
      <c r="E22" s="188"/>
      <c r="F22" s="184"/>
      <c r="G22" s="184"/>
      <c r="H22" s="184"/>
      <c r="I22" s="184"/>
      <c r="J22" s="184"/>
      <c r="K22" s="184"/>
      <c r="L22" s="184"/>
      <c r="M22" s="184"/>
      <c r="N22" s="184"/>
      <c r="O22" s="184"/>
      <c r="P22" s="184"/>
      <c r="Q22" s="184"/>
      <c r="R22" s="184"/>
      <c r="S22" s="185"/>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8"/>
      <c r="AS22" s="48"/>
      <c r="AT22" s="48"/>
      <c r="AU22" s="48"/>
      <c r="AV22" s="48"/>
      <c r="AW22" s="48"/>
      <c r="AX22" s="48"/>
    </row>
    <row r="23" spans="1:50" ht="20.25" thickTop="1" thickBot="1">
      <c r="A23" s="50"/>
      <c r="B23" s="147"/>
      <c r="C23" s="148"/>
      <c r="D23" s="610" t="s">
        <v>418</v>
      </c>
      <c r="E23" s="611"/>
      <c r="F23" s="151">
        <v>30</v>
      </c>
      <c r="G23" s="189"/>
      <c r="H23" s="184"/>
      <c r="I23" s="529" t="s">
        <v>422</v>
      </c>
      <c r="J23" s="530"/>
      <c r="K23" s="89" t="str">
        <f>VLOOKUP(V24,C43:D54,2,FALSE)</f>
        <v>Junio</v>
      </c>
      <c r="L23" s="184"/>
      <c r="M23" s="534"/>
      <c r="N23" s="534"/>
      <c r="O23" s="184"/>
      <c r="P23" s="174" t="b">
        <f>ISERR(M39)</f>
        <v>0</v>
      </c>
      <c r="Q23" s="184"/>
      <c r="R23" s="184"/>
      <c r="S23" s="14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8"/>
      <c r="AS23" s="48"/>
      <c r="AT23" s="48"/>
      <c r="AU23" s="48"/>
      <c r="AV23" s="48"/>
      <c r="AW23" s="48"/>
      <c r="AX23" s="48"/>
    </row>
    <row r="24" spans="1:50" ht="19.5" thickBot="1">
      <c r="A24" s="50"/>
      <c r="B24" s="147"/>
      <c r="C24" s="148"/>
      <c r="D24" s="608" t="s">
        <v>419</v>
      </c>
      <c r="E24" s="609"/>
      <c r="F24" s="176">
        <f>W24/100</f>
        <v>0.19</v>
      </c>
      <c r="G24" s="189"/>
      <c r="H24" s="184"/>
      <c r="I24" s="531" t="s">
        <v>423</v>
      </c>
      <c r="J24" s="532"/>
      <c r="K24" s="88" t="str">
        <f>VLOOKUP(V25,C44:D55,2,FALSE)</f>
        <v>Diciembre</v>
      </c>
      <c r="L24" s="190"/>
      <c r="M24" s="524"/>
      <c r="N24" s="524"/>
      <c r="O24" s="191"/>
      <c r="P24" s="174" t="b">
        <f>ISERR(M36)</f>
        <v>0</v>
      </c>
      <c r="Q24" s="184"/>
      <c r="R24" s="191"/>
      <c r="S24" s="154"/>
      <c r="T24" s="409"/>
      <c r="U24" s="409">
        <f>MIN(E43:E54)</f>
        <v>1.256903900599277</v>
      </c>
      <c r="V24" s="409">
        <f>MATCH(U24,E43:E54,0)</f>
        <v>6</v>
      </c>
      <c r="W24" s="409">
        <v>19</v>
      </c>
      <c r="X24" s="409">
        <f>MIN(AO43:AO108)</f>
        <v>29746.218304749469</v>
      </c>
      <c r="Y24" s="409"/>
      <c r="Z24" s="409"/>
      <c r="AA24" s="409"/>
      <c r="AB24" s="409"/>
      <c r="AC24" s="409"/>
      <c r="AD24" s="409"/>
      <c r="AE24" s="409"/>
      <c r="AF24" s="409"/>
      <c r="AG24" s="409"/>
      <c r="AH24" s="409"/>
      <c r="AI24" s="409"/>
      <c r="AJ24" s="409"/>
      <c r="AK24" s="409"/>
      <c r="AL24" s="409"/>
      <c r="AM24" s="409"/>
      <c r="AN24" s="409"/>
      <c r="AO24" s="409"/>
      <c r="AP24" s="409"/>
      <c r="AQ24" s="409"/>
      <c r="AR24" s="48"/>
      <c r="AS24" s="48"/>
      <c r="AT24" s="48"/>
      <c r="AU24" s="48"/>
      <c r="AV24" s="48"/>
      <c r="AW24" s="48"/>
      <c r="AX24" s="48"/>
    </row>
    <row r="25" spans="1:50" ht="19.5" thickBot="1">
      <c r="A25" s="50"/>
      <c r="B25" s="147"/>
      <c r="C25" s="148"/>
      <c r="D25" s="610" t="s">
        <v>420</v>
      </c>
      <c r="E25" s="611"/>
      <c r="F25" s="151">
        <v>4450</v>
      </c>
      <c r="G25" s="189"/>
      <c r="H25" s="184"/>
      <c r="I25" s="184"/>
      <c r="J25" s="184"/>
      <c r="K25" s="184"/>
      <c r="L25" s="190"/>
      <c r="M25" s="184"/>
      <c r="N25" s="192"/>
      <c r="O25" s="192"/>
      <c r="P25" s="174" t="b">
        <f>ISERR(M33)</f>
        <v>0</v>
      </c>
      <c r="Q25" s="184"/>
      <c r="R25" s="191"/>
      <c r="S25" s="154"/>
      <c r="T25" s="409"/>
      <c r="U25" s="409">
        <f>MIN(F43:F54)</f>
        <v>2.5</v>
      </c>
      <c r="V25" s="409">
        <f>MATCH(U25,F43:F54,0)</f>
        <v>12</v>
      </c>
      <c r="W25" s="409"/>
      <c r="X25" s="409">
        <f>SMALL(AO43:AO108,2)</f>
        <v>33796.84026862427</v>
      </c>
      <c r="Y25" s="409"/>
      <c r="Z25" s="409"/>
      <c r="AA25" s="409"/>
      <c r="AB25" s="409"/>
      <c r="AC25" s="409"/>
      <c r="AD25" s="409"/>
      <c r="AE25" s="409"/>
      <c r="AF25" s="409"/>
      <c r="AG25" s="409"/>
      <c r="AH25" s="409"/>
      <c r="AI25" s="409"/>
      <c r="AJ25" s="409"/>
      <c r="AK25" s="409"/>
      <c r="AL25" s="409"/>
      <c r="AM25" s="409"/>
      <c r="AN25" s="409"/>
      <c r="AO25" s="409"/>
      <c r="AP25" s="409"/>
      <c r="AQ25" s="409"/>
      <c r="AR25" s="48"/>
      <c r="AS25" s="48"/>
      <c r="AT25" s="48"/>
      <c r="AU25" s="48"/>
      <c r="AV25" s="48"/>
      <c r="AW25" s="48"/>
      <c r="AX25" s="48"/>
    </row>
    <row r="26" spans="1:50" ht="20.25" thickTop="1" thickBot="1">
      <c r="A26" s="50"/>
      <c r="B26" s="147"/>
      <c r="C26" s="148"/>
      <c r="D26" s="610" t="s">
        <v>421</v>
      </c>
      <c r="E26" s="611"/>
      <c r="F26" s="151">
        <v>400</v>
      </c>
      <c r="G26" s="189"/>
      <c r="H26" s="184"/>
      <c r="I26" s="533"/>
      <c r="J26" s="533"/>
      <c r="K26" s="533"/>
      <c r="L26" s="186"/>
      <c r="M26" s="193" t="s">
        <v>431</v>
      </c>
      <c r="N26" s="184"/>
      <c r="O26" s="184"/>
      <c r="P26" s="184"/>
      <c r="Q26" s="184"/>
      <c r="R26" s="191"/>
      <c r="S26" s="154"/>
      <c r="T26" s="409"/>
      <c r="U26" s="409"/>
      <c r="V26" s="409"/>
      <c r="W26" s="409"/>
      <c r="X26" s="409">
        <f>SMALL($AO$43:$AO$108,3)</f>
        <v>35652.905156510227</v>
      </c>
      <c r="Y26" s="409"/>
      <c r="Z26" s="409"/>
      <c r="AA26" s="409"/>
      <c r="AB26" s="409"/>
      <c r="AC26" s="409"/>
      <c r="AD26" s="409"/>
      <c r="AE26" s="409"/>
      <c r="AF26" s="409"/>
      <c r="AG26" s="409"/>
      <c r="AH26" s="409"/>
      <c r="AI26" s="409"/>
      <c r="AJ26" s="409"/>
      <c r="AK26" s="409"/>
      <c r="AL26" s="409"/>
      <c r="AM26" s="409"/>
      <c r="AN26" s="409"/>
      <c r="AO26" s="409"/>
      <c r="AP26" s="409"/>
      <c r="AQ26" s="409"/>
      <c r="AR26" s="48"/>
      <c r="AS26" s="48"/>
      <c r="AT26" s="48"/>
      <c r="AU26" s="48"/>
      <c r="AV26" s="48"/>
      <c r="AW26" s="48"/>
      <c r="AX26" s="48"/>
    </row>
    <row r="27" spans="1:50" ht="31.5" thickTop="1" thickBot="1">
      <c r="A27" s="50"/>
      <c r="B27" s="147"/>
      <c r="C27" s="148"/>
      <c r="D27" s="148"/>
      <c r="E27" s="150"/>
      <c r="F27" s="148"/>
      <c r="G27" s="184"/>
      <c r="H27" s="184"/>
      <c r="I27" s="529" t="s">
        <v>432</v>
      </c>
      <c r="J27" s="530"/>
      <c r="K27" s="91">
        <f>MAX(U43:U54)</f>
        <v>20.765473705480726</v>
      </c>
      <c r="L27" s="527"/>
      <c r="M27" s="194">
        <f>K27*F25</f>
        <v>92406.357989389231</v>
      </c>
      <c r="N27" s="184"/>
      <c r="O27" s="184"/>
      <c r="P27" s="192"/>
      <c r="Q27" s="192"/>
      <c r="R27" s="191"/>
      <c r="S27" s="154"/>
      <c r="T27" s="409"/>
      <c r="U27" s="409"/>
      <c r="V27" s="409"/>
      <c r="W27" s="409"/>
      <c r="X27" s="409">
        <f>SMALL($AO$43:$AO$108,4)</f>
        <v>39992.997853570836</v>
      </c>
      <c r="Y27" s="409"/>
      <c r="Z27" s="409"/>
      <c r="AA27" s="409"/>
      <c r="AB27" s="409"/>
      <c r="AC27" s="409"/>
      <c r="AD27" s="409"/>
      <c r="AE27" s="409"/>
      <c r="AF27" s="409"/>
      <c r="AG27" s="409"/>
      <c r="AH27" s="409"/>
      <c r="AI27" s="409"/>
      <c r="AJ27" s="409"/>
      <c r="AK27" s="409"/>
      <c r="AL27" s="409"/>
      <c r="AM27" s="409"/>
      <c r="AN27" s="409"/>
      <c r="AO27" s="409"/>
      <c r="AP27" s="409"/>
      <c r="AQ27" s="409"/>
      <c r="AR27" s="48"/>
      <c r="AS27" s="48"/>
      <c r="AT27" s="48"/>
      <c r="AU27" s="48"/>
      <c r="AV27" s="48"/>
      <c r="AW27" s="48"/>
      <c r="AX27" s="48"/>
    </row>
    <row r="28" spans="1:50" ht="30">
      <c r="A28" s="50"/>
      <c r="B28" s="147"/>
      <c r="C28" s="148"/>
      <c r="D28" s="148"/>
      <c r="E28" s="150"/>
      <c r="F28" s="148"/>
      <c r="G28" s="184"/>
      <c r="H28" s="184"/>
      <c r="I28" s="531" t="s">
        <v>433</v>
      </c>
      <c r="J28" s="532"/>
      <c r="K28" s="90">
        <f>MAX(V43:V54)</f>
        <v>228.75927675889423</v>
      </c>
      <c r="L28" s="527"/>
      <c r="M28" s="194">
        <f>K28*F26</f>
        <v>91503.710703557692</v>
      </c>
      <c r="N28" s="184"/>
      <c r="O28" s="184"/>
      <c r="P28" s="184"/>
      <c r="Q28" s="184"/>
      <c r="R28" s="184"/>
      <c r="S28" s="14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8"/>
      <c r="AS28" s="48"/>
      <c r="AT28" s="48"/>
      <c r="AU28" s="48"/>
      <c r="AV28" s="48"/>
      <c r="AW28" s="48"/>
      <c r="AX28" s="48"/>
    </row>
    <row r="29" spans="1:50" ht="20.25">
      <c r="A29" s="50"/>
      <c r="B29" s="147"/>
      <c r="C29" s="148"/>
      <c r="D29" s="148"/>
      <c r="E29" s="150"/>
      <c r="F29" s="148"/>
      <c r="G29" s="184"/>
      <c r="H29" s="184"/>
      <c r="I29" s="184"/>
      <c r="J29" s="184"/>
      <c r="K29" s="184"/>
      <c r="L29" s="184"/>
      <c r="M29" s="184"/>
      <c r="N29" s="184"/>
      <c r="O29" s="184"/>
      <c r="P29" s="184"/>
      <c r="Q29" s="184"/>
      <c r="R29" s="184"/>
      <c r="S29" s="14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8"/>
      <c r="AS29" s="48"/>
      <c r="AT29" s="48"/>
      <c r="AU29" s="48"/>
      <c r="AV29" s="48"/>
      <c r="AW29" s="48"/>
      <c r="AX29" s="48"/>
    </row>
    <row r="30" spans="1:50" ht="30">
      <c r="A30" s="50"/>
      <c r="B30" s="147"/>
      <c r="C30" s="148"/>
      <c r="D30" s="148"/>
      <c r="E30" s="150"/>
      <c r="F30" s="148"/>
      <c r="G30" s="184"/>
      <c r="H30" s="184"/>
      <c r="I30" s="541" t="s">
        <v>434</v>
      </c>
      <c r="J30" s="195" t="s">
        <v>155</v>
      </c>
      <c r="K30" s="92">
        <f>(VLOOKUP(X24,$AO$43:$AQ$108,3,FALSE)*(1.2))</f>
        <v>4.3771465189941008</v>
      </c>
      <c r="L30" s="527"/>
      <c r="M30" s="540">
        <f>(K30*F25)+(K31*F26)</f>
        <v>35695.46196569936</v>
      </c>
      <c r="N30" s="184"/>
      <c r="O30" s="184"/>
      <c r="P30" s="184"/>
      <c r="Q30" s="184"/>
      <c r="R30" s="184"/>
      <c r="S30" s="14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8"/>
      <c r="AS30" s="48"/>
      <c r="AT30" s="48"/>
      <c r="AU30" s="48"/>
      <c r="AV30" s="48"/>
      <c r="AW30" s="48"/>
      <c r="AX30" s="48"/>
    </row>
    <row r="31" spans="1:50" ht="20.25">
      <c r="A31" s="50"/>
      <c r="B31" s="147"/>
      <c r="C31" s="148"/>
      <c r="D31" s="148"/>
      <c r="E31" s="150"/>
      <c r="F31" s="148"/>
      <c r="G31" s="184"/>
      <c r="H31" s="184"/>
      <c r="I31" s="542"/>
      <c r="J31" s="195" t="s">
        <v>156</v>
      </c>
      <c r="K31" s="93">
        <f>(VLOOKUP(X24,$AO$43:$AQ$108,2,FALSE)*(1.2))</f>
        <v>40.542899890439031</v>
      </c>
      <c r="L31" s="527"/>
      <c r="M31" s="540"/>
      <c r="N31" s="184"/>
      <c r="O31" s="184"/>
      <c r="P31" s="184"/>
      <c r="Q31" s="184"/>
      <c r="R31" s="184"/>
      <c r="S31" s="14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8"/>
      <c r="AS31" s="48"/>
      <c r="AT31" s="48"/>
      <c r="AU31" s="48"/>
      <c r="AV31" s="48"/>
      <c r="AW31" s="48"/>
      <c r="AX31" s="48"/>
    </row>
    <row r="32" spans="1:50" ht="20.25">
      <c r="A32" s="50"/>
      <c r="B32" s="147"/>
      <c r="C32" s="148"/>
      <c r="D32" s="148"/>
      <c r="E32" s="150"/>
      <c r="F32" s="148"/>
      <c r="G32" s="184"/>
      <c r="H32" s="184"/>
      <c r="I32" s="184"/>
      <c r="J32" s="184"/>
      <c r="K32" s="184"/>
      <c r="L32" s="184"/>
      <c r="M32" s="184"/>
      <c r="N32" s="184"/>
      <c r="O32" s="184"/>
      <c r="P32" s="184"/>
      <c r="Q32" s="184"/>
      <c r="R32" s="184"/>
      <c r="S32" s="14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8"/>
      <c r="AS32" s="48"/>
      <c r="AT32" s="48"/>
      <c r="AU32" s="48"/>
      <c r="AV32" s="48"/>
      <c r="AW32" s="48"/>
      <c r="AX32" s="48"/>
    </row>
    <row r="33" spans="1:50" ht="45">
      <c r="A33" s="50"/>
      <c r="B33" s="147"/>
      <c r="C33" s="148"/>
      <c r="D33" s="148"/>
      <c r="E33" s="150"/>
      <c r="F33" s="148"/>
      <c r="G33" s="184"/>
      <c r="H33" s="184"/>
      <c r="I33" s="525" t="s">
        <v>440</v>
      </c>
      <c r="J33" s="196" t="s">
        <v>155</v>
      </c>
      <c r="K33" s="197">
        <f>(VLOOKUP(X25,$AO$43:$AQ$108,3,FALSE)*(1.2))</f>
        <v>4.0900531617308156</v>
      </c>
      <c r="L33" s="527"/>
      <c r="M33" s="528">
        <f>(K33*F25)+(K34*F26)</f>
        <v>40556.208322349121</v>
      </c>
      <c r="N33" s="184"/>
      <c r="O33" s="184"/>
      <c r="P33" s="184"/>
      <c r="Q33" s="184"/>
      <c r="R33" s="184"/>
      <c r="S33" s="14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8"/>
      <c r="AS33" s="48"/>
      <c r="AT33" s="48"/>
      <c r="AU33" s="48"/>
      <c r="AV33" s="48"/>
      <c r="AW33" s="48"/>
      <c r="AX33" s="48"/>
    </row>
    <row r="34" spans="1:50" ht="20.25">
      <c r="A34" s="50"/>
      <c r="B34" s="147"/>
      <c r="C34" s="148"/>
      <c r="D34" s="148"/>
      <c r="E34" s="150"/>
      <c r="F34" s="148"/>
      <c r="G34" s="184"/>
      <c r="H34" s="184"/>
      <c r="I34" s="526"/>
      <c r="J34" s="196" t="s">
        <v>156</v>
      </c>
      <c r="K34" s="198">
        <f>(VLOOKUP(X25,$AO$43:$AQ$108,2,FALSE)*(1.2))</f>
        <v>55.888679381617486</v>
      </c>
      <c r="L34" s="527"/>
      <c r="M34" s="528"/>
      <c r="N34" s="184"/>
      <c r="O34" s="184"/>
      <c r="P34" s="184"/>
      <c r="Q34" s="184"/>
      <c r="R34" s="184"/>
      <c r="S34" s="14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8"/>
      <c r="AS34" s="48"/>
      <c r="AT34" s="48"/>
      <c r="AU34" s="48"/>
      <c r="AV34" s="48"/>
      <c r="AW34" s="48"/>
      <c r="AX34" s="48"/>
    </row>
    <row r="35" spans="1:50" ht="20.25">
      <c r="A35" s="50"/>
      <c r="B35" s="147"/>
      <c r="C35" s="148"/>
      <c r="D35" s="148"/>
      <c r="E35" s="150"/>
      <c r="F35" s="148"/>
      <c r="G35" s="184"/>
      <c r="H35" s="184"/>
      <c r="I35" s="184"/>
      <c r="J35" s="184"/>
      <c r="K35" s="184"/>
      <c r="L35" s="184"/>
      <c r="M35" s="184"/>
      <c r="N35" s="184"/>
      <c r="O35" s="184"/>
      <c r="P35" s="184"/>
      <c r="Q35" s="184"/>
      <c r="R35" s="184"/>
      <c r="S35" s="14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8"/>
      <c r="AS35" s="48"/>
      <c r="AT35" s="48"/>
      <c r="AU35" s="48"/>
      <c r="AV35" s="48"/>
      <c r="AW35" s="48"/>
      <c r="AX35" s="48"/>
    </row>
    <row r="36" spans="1:50" ht="45">
      <c r="A36" s="50"/>
      <c r="B36" s="147"/>
      <c r="C36" s="148"/>
      <c r="D36" s="148"/>
      <c r="E36" s="150"/>
      <c r="F36" s="148"/>
      <c r="G36" s="184"/>
      <c r="H36" s="184"/>
      <c r="I36" s="525" t="s">
        <v>441</v>
      </c>
      <c r="J36" s="196" t="s">
        <v>155</v>
      </c>
      <c r="K36" s="197">
        <f>(VLOOKUP(X26,$AO$43:$AQ$108,3,FALSE)*(1.2))</f>
        <v>6.7983582649986456</v>
      </c>
      <c r="L36" s="527"/>
      <c r="M36" s="528">
        <f>(K36*F25)+(K37*F26)</f>
        <v>42783.486187812276</v>
      </c>
      <c r="N36" s="184"/>
      <c r="O36" s="184"/>
      <c r="P36" s="184"/>
      <c r="Q36" s="184"/>
      <c r="R36" s="184"/>
      <c r="S36" s="14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8"/>
      <c r="AS36" s="48"/>
      <c r="AT36" s="48"/>
      <c r="AU36" s="48"/>
      <c r="AV36" s="48"/>
      <c r="AW36" s="48"/>
      <c r="AX36" s="48"/>
    </row>
    <row r="37" spans="1:50" ht="20.25">
      <c r="A37" s="50"/>
      <c r="B37" s="147"/>
      <c r="C37" s="148"/>
      <c r="D37" s="148"/>
      <c r="E37" s="150"/>
      <c r="F37" s="148"/>
      <c r="G37" s="184"/>
      <c r="H37" s="184"/>
      <c r="I37" s="526"/>
      <c r="J37" s="196" t="s">
        <v>156</v>
      </c>
      <c r="K37" s="198">
        <f>(VLOOKUP(X26,$AO$43:$AQ$108,2,FALSE)*(1.2))</f>
        <v>31.326979771420753</v>
      </c>
      <c r="L37" s="527"/>
      <c r="M37" s="528"/>
      <c r="N37" s="184"/>
      <c r="O37" s="184"/>
      <c r="P37" s="184"/>
      <c r="Q37" s="184"/>
      <c r="R37" s="184"/>
      <c r="S37" s="14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8"/>
      <c r="AS37" s="48"/>
      <c r="AT37" s="48"/>
      <c r="AU37" s="48"/>
      <c r="AV37" s="48"/>
      <c r="AW37" s="48"/>
      <c r="AX37" s="48"/>
    </row>
    <row r="38" spans="1:50" ht="20.25">
      <c r="A38" s="50"/>
      <c r="B38" s="147"/>
      <c r="C38" s="148"/>
      <c r="D38" s="150"/>
      <c r="E38" s="150"/>
      <c r="F38" s="148"/>
      <c r="G38" s="184"/>
      <c r="H38" s="184"/>
      <c r="I38" s="184"/>
      <c r="J38" s="184"/>
      <c r="K38" s="184"/>
      <c r="L38" s="184"/>
      <c r="M38" s="184"/>
      <c r="N38" s="184"/>
      <c r="O38" s="184"/>
      <c r="P38" s="184"/>
      <c r="Q38" s="184"/>
      <c r="R38" s="184"/>
      <c r="S38" s="14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8"/>
      <c r="AS38" s="48"/>
      <c r="AT38" s="48"/>
      <c r="AU38" s="48"/>
      <c r="AV38" s="48"/>
      <c r="AW38" s="48"/>
      <c r="AX38" s="48"/>
    </row>
    <row r="39" spans="1:50" ht="45">
      <c r="A39" s="50"/>
      <c r="B39" s="147"/>
      <c r="C39" s="148"/>
      <c r="D39" s="148"/>
      <c r="E39" s="150"/>
      <c r="F39" s="148"/>
      <c r="G39" s="184"/>
      <c r="H39" s="184"/>
      <c r="I39" s="525" t="s">
        <v>442</v>
      </c>
      <c r="J39" s="196" t="s">
        <v>155</v>
      </c>
      <c r="K39" s="197">
        <f>VLOOKUP(X27,$AO$43:$AQ$108,3,FALSE)*1.2</f>
        <v>6.1526325925315479</v>
      </c>
      <c r="L39" s="527"/>
      <c r="M39" s="528">
        <f>(K39*F25)+(K40*F26)</f>
        <v>47991.597424284999</v>
      </c>
      <c r="N39" s="184"/>
      <c r="O39" s="184"/>
      <c r="P39" s="184"/>
      <c r="Q39" s="184"/>
      <c r="R39" s="184"/>
      <c r="S39" s="14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8"/>
      <c r="AS39" s="48"/>
      <c r="AT39" s="48"/>
      <c r="AU39" s="48"/>
      <c r="AV39" s="48"/>
      <c r="AW39" s="48"/>
      <c r="AX39" s="48"/>
    </row>
    <row r="40" spans="1:50" ht="20.25">
      <c r="A40" s="50"/>
      <c r="B40" s="147"/>
      <c r="C40" s="148"/>
      <c r="D40" s="148"/>
      <c r="E40" s="150"/>
      <c r="F40" s="148"/>
      <c r="G40" s="184"/>
      <c r="H40" s="184"/>
      <c r="I40" s="526"/>
      <c r="J40" s="196" t="s">
        <v>156</v>
      </c>
      <c r="K40" s="198">
        <f>VLOOKUP(X27,$AO$43:$AQ$108,2,FALSE)*1.2</f>
        <v>51.530955968799027</v>
      </c>
      <c r="L40" s="527"/>
      <c r="M40" s="528"/>
      <c r="N40" s="184"/>
      <c r="O40" s="184"/>
      <c r="P40" s="184"/>
      <c r="Q40" s="184"/>
      <c r="R40" s="184"/>
      <c r="S40" s="149"/>
      <c r="T40" s="409"/>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8"/>
      <c r="AS40" s="48"/>
      <c r="AT40" s="48"/>
      <c r="AU40" s="48"/>
      <c r="AV40" s="48"/>
      <c r="AW40" s="48"/>
      <c r="AX40" s="48"/>
    </row>
    <row r="41" spans="1:50" ht="20.25">
      <c r="A41" s="50"/>
      <c r="B41" s="147"/>
      <c r="C41" s="148"/>
      <c r="D41" s="150"/>
      <c r="E41" s="150"/>
      <c r="F41" s="155"/>
      <c r="G41" s="148"/>
      <c r="H41" s="148"/>
      <c r="I41" s="148"/>
      <c r="J41" s="148"/>
      <c r="K41" s="148"/>
      <c r="L41" s="148"/>
      <c r="M41" s="148"/>
      <c r="N41" s="148"/>
      <c r="O41" s="148"/>
      <c r="P41" s="148"/>
      <c r="Q41" s="148"/>
      <c r="R41" s="148"/>
      <c r="S41" s="14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8"/>
      <c r="AS41" s="48"/>
      <c r="AT41" s="48"/>
      <c r="AU41" s="48"/>
      <c r="AV41" s="48"/>
      <c r="AW41" s="48"/>
      <c r="AX41" s="48"/>
    </row>
    <row r="42" spans="1:50" ht="75">
      <c r="A42" s="50"/>
      <c r="B42" s="147"/>
      <c r="C42" s="148"/>
      <c r="D42" s="156" t="s">
        <v>424</v>
      </c>
      <c r="E42" s="157" t="s">
        <v>425</v>
      </c>
      <c r="F42" s="158" t="s">
        <v>426</v>
      </c>
      <c r="G42" s="157" t="s">
        <v>427</v>
      </c>
      <c r="H42" s="159" t="s">
        <v>72</v>
      </c>
      <c r="I42" s="157" t="s">
        <v>428</v>
      </c>
      <c r="J42" s="157" t="s">
        <v>429</v>
      </c>
      <c r="K42" s="160" t="s">
        <v>430</v>
      </c>
      <c r="L42" s="539"/>
      <c r="M42" s="161" t="s">
        <v>435</v>
      </c>
      <c r="N42" s="161" t="s">
        <v>437</v>
      </c>
      <c r="O42" s="537"/>
      <c r="P42" s="162" t="s">
        <v>436</v>
      </c>
      <c r="Q42" s="162" t="s">
        <v>438</v>
      </c>
      <c r="R42" s="163" t="s">
        <v>439</v>
      </c>
      <c r="S42" s="164"/>
      <c r="T42" s="409"/>
      <c r="U42" s="409" t="s">
        <v>73</v>
      </c>
      <c r="V42" s="409" t="s">
        <v>74</v>
      </c>
      <c r="W42" s="409"/>
      <c r="X42" s="409" t="s">
        <v>78</v>
      </c>
      <c r="Y42" s="409" t="s">
        <v>77</v>
      </c>
      <c r="Z42" s="409" t="s">
        <v>76</v>
      </c>
      <c r="AA42" s="409" t="s">
        <v>75</v>
      </c>
      <c r="AB42" s="409" t="s">
        <v>80</v>
      </c>
      <c r="AC42" s="409" t="s">
        <v>79</v>
      </c>
      <c r="AD42" s="409" t="s">
        <v>84</v>
      </c>
      <c r="AE42" s="409" t="s">
        <v>83</v>
      </c>
      <c r="AF42" s="409" t="s">
        <v>95</v>
      </c>
      <c r="AG42" s="409" t="s">
        <v>96</v>
      </c>
      <c r="AH42" s="409"/>
      <c r="AI42" s="409" t="s">
        <v>98</v>
      </c>
      <c r="AJ42" s="409" t="s">
        <v>99</v>
      </c>
      <c r="AK42" s="409" t="s">
        <v>100</v>
      </c>
      <c r="AL42" s="409"/>
      <c r="AM42" s="409"/>
      <c r="AN42" s="409"/>
      <c r="AO42" s="409" t="s">
        <v>71</v>
      </c>
      <c r="AP42" s="409"/>
      <c r="AQ42" s="409"/>
      <c r="AR42" s="48"/>
      <c r="AS42" s="48"/>
      <c r="AT42" s="48"/>
      <c r="AU42" s="48"/>
      <c r="AV42" s="48"/>
      <c r="AW42" s="48"/>
      <c r="AX42" s="48"/>
    </row>
    <row r="43" spans="1:50" ht="15">
      <c r="A43" s="50"/>
      <c r="B43" s="147"/>
      <c r="C43" s="152">
        <v>1</v>
      </c>
      <c r="D43" s="165" t="s">
        <v>243</v>
      </c>
      <c r="E43" s="28">
        <f>W111</f>
        <v>5.4182414820366018</v>
      </c>
      <c r="F43" s="166">
        <v>3</v>
      </c>
      <c r="G43" s="28">
        <f>IF($F$23=10,F43,F43*($F$23/10)^0.142857)</f>
        <v>3.5097918874330896</v>
      </c>
      <c r="H43" s="175">
        <f>(G43^3)*24/1000</f>
        <v>1.0376606292755366</v>
      </c>
      <c r="I43" s="28">
        <f>H43*$F$24</f>
        <v>0.19715551956235194</v>
      </c>
      <c r="J43" s="28">
        <f>IF('Ángulo de Inclinación'!$O$24=2,'Ángulo de Inclinación'!E28*Consumos!$F$46,'Ángulo de Inclinación'!F28*Consumos!$F$46)/1000</f>
        <v>26.10020489821045</v>
      </c>
      <c r="K43" s="28">
        <f>$K$27*E43</f>
        <v>112.51235102517597</v>
      </c>
      <c r="L43" s="538"/>
      <c r="M43" s="28">
        <f>$K$28*I43</f>
        <v>45.101154064107654</v>
      </c>
      <c r="N43" s="28">
        <f>($K$30*E43)+($K$31*I43)</f>
        <v>31.709693334629879</v>
      </c>
      <c r="O43" s="538"/>
      <c r="P43" s="28">
        <f>($K$33*E43)+($K$34*I43)</f>
        <v>33.179657325761369</v>
      </c>
      <c r="Q43" s="28">
        <f>($K$36*E43)+($K$37*I43)</f>
        <v>43.011433734315794</v>
      </c>
      <c r="R43" s="28">
        <f>($K$39*E43)+($K$40*I43)</f>
        <v>43.496061534158088</v>
      </c>
      <c r="S43" s="167"/>
      <c r="T43" s="409"/>
      <c r="U43" s="409">
        <f>J43/E43</f>
        <v>4.8170988658851615</v>
      </c>
      <c r="V43" s="409">
        <f>J43/I43</f>
        <v>132.38384071695268</v>
      </c>
      <c r="W43" s="409" t="s">
        <v>82</v>
      </c>
      <c r="X43" s="409">
        <f>IF($U$43=0,0,$U$43/$V$43)</f>
        <v>3.6387362987787213E-2</v>
      </c>
      <c r="Y43" s="409">
        <f>IF(V44=0,0,U44/V44)</f>
        <v>3.4089746633486288E-2</v>
      </c>
      <c r="Z43" s="409">
        <f>U44</f>
        <v>4.996070067941921</v>
      </c>
      <c r="AA43" s="409">
        <f>$U$43</f>
        <v>4.8170988658851615</v>
      </c>
      <c r="AB43" s="409">
        <f>Z43-AA43</f>
        <v>0.17897120205675954</v>
      </c>
      <c r="AC43" s="409">
        <f>Y43-X43</f>
        <v>-2.2976163543009243E-3</v>
      </c>
      <c r="AD43" s="409">
        <f>IF(AC43=0,0,AB43/AC43)</f>
        <v>-77.894293240793701</v>
      </c>
      <c r="AE43" s="409">
        <f>-((X43)*AD43)+AA43</f>
        <v>7.6514667887150623</v>
      </c>
      <c r="AF43" s="409">
        <f>IF(OR(AD43&gt;$K$28,AD43&lt;0),0,AD43)</f>
        <v>0</v>
      </c>
      <c r="AG43" s="409">
        <f>IF(OR(AE43&gt;$K$27,AE43&lt;0),0,AE43)</f>
        <v>7.6514667887150623</v>
      </c>
      <c r="AH43" s="409" t="str">
        <f>IF(AF43&gt;0,AF43,"")</f>
        <v/>
      </c>
      <c r="AI43" s="409">
        <f>MIN(AH43:AH53)</f>
        <v>26.409306023789032</v>
      </c>
      <c r="AJ43" s="409">
        <f>MAX(AG43:AG53)</f>
        <v>18.64656676145523</v>
      </c>
      <c r="AK43" s="409">
        <f>IF(OR(AI43=0,AJ43=0),"",VLOOKUP(AI43,AF43:AG53,2,FALSE))</f>
        <v>3.8561338613419944</v>
      </c>
      <c r="AL43" s="409" t="str">
        <f>IF(AJ43=AK43,"ok","fallo")</f>
        <v>fallo</v>
      </c>
      <c r="AM43" s="409" t="str">
        <f>IF($AL$43="ok",IF(AI43&lt;0.5,0.5,AI43),"")</f>
        <v/>
      </c>
      <c r="AN43" s="409" t="str">
        <f>IF($AL$43="ok",AJ43,"")</f>
        <v/>
      </c>
      <c r="AO43" s="409" t="str">
        <f>IF(AM43="","",(AM43*$F$26)+(AN43*$F$25))</f>
        <v/>
      </c>
      <c r="AP43" s="409" t="str">
        <f>AM43</f>
        <v/>
      </c>
      <c r="AQ43" s="409" t="str">
        <f>AN43</f>
        <v/>
      </c>
      <c r="AR43" s="48"/>
      <c r="AS43" s="48"/>
      <c r="AT43" s="48"/>
      <c r="AU43" s="48"/>
      <c r="AV43" s="48"/>
      <c r="AW43" s="48"/>
      <c r="AX43" s="48"/>
    </row>
    <row r="44" spans="1:50" ht="15">
      <c r="A44" s="50"/>
      <c r="B44" s="147"/>
      <c r="C44" s="152">
        <v>2</v>
      </c>
      <c r="D44" s="165" t="s">
        <v>3</v>
      </c>
      <c r="E44" s="28">
        <f t="shared" ref="E44:E54" si="0">W112</f>
        <v>5.2241470882657488</v>
      </c>
      <c r="F44" s="166">
        <v>2.9</v>
      </c>
      <c r="G44" s="28">
        <f t="shared" ref="G44:G54" si="1">IF($F$23=10,F44,F44*($F$23/10)^0.142857)</f>
        <v>3.3927988245186533</v>
      </c>
      <c r="H44" s="175">
        <f t="shared" ref="H44:H54" si="2">(G44^3)*24/1000</f>
        <v>0.93731500323707639</v>
      </c>
      <c r="I44" s="28">
        <f t="shared" ref="I44:I54" si="3">H44*$F$24</f>
        <v>0.17808985061504451</v>
      </c>
      <c r="J44" s="28">
        <f>IF('Ángulo de Inclinación'!$O$24=2,'Ángulo de Inclinación'!E29*Consumos!$F$46,'Ángulo de Inclinación'!F29*Consumos!$F$46)/1000</f>
        <v>26.10020489821045</v>
      </c>
      <c r="K44" s="28">
        <f t="shared" ref="K44:K54" si="4">$K$27*E44</f>
        <v>108.4818889949461</v>
      </c>
      <c r="L44" s="537"/>
      <c r="M44" s="28">
        <f t="shared" ref="M44:M54" si="5">$K$28*I44</f>
        <v>40.739705424797094</v>
      </c>
      <c r="N44" s="28">
        <f t="shared" ref="N44:N54" si="6">($K$30*E44)+($K$31*I44)</f>
        <v>30.08713622710458</v>
      </c>
      <c r="O44" s="537"/>
      <c r="P44" s="28">
        <f t="shared" ref="P44:P54" si="7">($K$33*E44)+($K$34*I44)</f>
        <v>31.320245877852535</v>
      </c>
      <c r="Q44" s="28">
        <f t="shared" ref="Q44:Q54" si="8">($K$36*E44)+($K$37*I44)</f>
        <v>41.0946406827929</v>
      </c>
      <c r="R44" s="28">
        <f t="shared" ref="R44:R54" si="9">($K$39*E44)+($K$40*I44)</f>
        <v>41.319397893976486</v>
      </c>
      <c r="S44" s="167"/>
      <c r="T44" s="409"/>
      <c r="U44" s="409">
        <f t="shared" ref="U44:U54" si="10">J44/E44</f>
        <v>4.996070067941921</v>
      </c>
      <c r="V44" s="409">
        <f t="shared" ref="V44:V54" si="11">J44/I44</f>
        <v>146.55638604935513</v>
      </c>
      <c r="W44" s="409" t="s">
        <v>85</v>
      </c>
      <c r="X44" s="409">
        <f t="shared" ref="X44:X53" si="12">IF($U$43=0,0,$U$43/$V$43)</f>
        <v>3.6387362987787213E-2</v>
      </c>
      <c r="Y44" s="409">
        <f t="shared" ref="Y44:Y53" si="13">IF(V45=0,0,U45/V45)</f>
        <v>4.7034219715532261E-2</v>
      </c>
      <c r="Z44" s="409">
        <f>U45</f>
        <v>6.8931652621597364</v>
      </c>
      <c r="AA44" s="409">
        <f>$U$43</f>
        <v>4.8170988658851615</v>
      </c>
      <c r="AB44" s="409">
        <f>Z44-AA44</f>
        <v>2.0760663962745749</v>
      </c>
      <c r="AC44" s="409">
        <f>Y44-X44</f>
        <v>1.0646856727745048E-2</v>
      </c>
      <c r="AD44" s="409">
        <f t="shared" ref="AD44:AD53" si="14">IF(AC44=0,0,AB44/AC44)</f>
        <v>194.99336277010985</v>
      </c>
      <c r="AE44" s="409">
        <f>-((X44)*AD44)+AA44</f>
        <v>-2.2781954054400986</v>
      </c>
      <c r="AF44" s="409">
        <f t="shared" ref="AF44:AF55" si="15">IF(OR(AD44&gt;$K$28,AD44&lt;0),0,AD44)</f>
        <v>194.99336277010985</v>
      </c>
      <c r="AG44" s="409">
        <f t="shared" ref="AG44:AG55" si="16">IF(OR(AE44&gt;$K$27,AE44&lt;0),0,AE44)</f>
        <v>0</v>
      </c>
      <c r="AH44" s="409">
        <f t="shared" ref="AH44:AH52" si="17">IF(AF44&gt;0,AF44,"")</f>
        <v>194.99336277010985</v>
      </c>
      <c r="AI44" s="409"/>
      <c r="AJ44" s="409"/>
      <c r="AK44" s="409"/>
      <c r="AL44" s="409"/>
      <c r="AM44" s="409"/>
      <c r="AN44" s="409"/>
      <c r="AO44" s="409"/>
      <c r="AP44" s="409"/>
      <c r="AQ44" s="409"/>
      <c r="AR44" s="48"/>
      <c r="AS44" s="48"/>
      <c r="AT44" s="48"/>
      <c r="AU44" s="48"/>
      <c r="AV44" s="48"/>
      <c r="AW44" s="48"/>
      <c r="AX44" s="48"/>
    </row>
    <row r="45" spans="1:50" ht="15">
      <c r="A45" s="50"/>
      <c r="B45" s="147"/>
      <c r="C45" s="152">
        <v>3</v>
      </c>
      <c r="D45" s="165" t="s">
        <v>4</v>
      </c>
      <c r="E45" s="28">
        <f t="shared" si="0"/>
        <v>3.7863889672700011</v>
      </c>
      <c r="F45" s="166">
        <v>2.9</v>
      </c>
      <c r="G45" s="28">
        <f t="shared" si="1"/>
        <v>3.3927988245186533</v>
      </c>
      <c r="H45" s="175">
        <f t="shared" si="2"/>
        <v>0.93731500323707639</v>
      </c>
      <c r="I45" s="28">
        <f t="shared" si="3"/>
        <v>0.17808985061504451</v>
      </c>
      <c r="J45" s="28">
        <f>IF('Ángulo de Inclinación'!$O$24=2,'Ángulo de Inclinación'!E30*Consumos!$F$46,'Ángulo de Inclinación'!F30*Consumos!$F$46)/1000</f>
        <v>26.10020489821045</v>
      </c>
      <c r="K45" s="28">
        <f t="shared" si="4"/>
        <v>78.626160538567532</v>
      </c>
      <c r="L45" s="538"/>
      <c r="M45" s="28">
        <f t="shared" si="5"/>
        <v>40.739705424797094</v>
      </c>
      <c r="N45" s="28">
        <f t="shared" si="6"/>
        <v>23.793858272632544</v>
      </c>
      <c r="O45" s="538"/>
      <c r="P45" s="28">
        <f t="shared" si="7"/>
        <v>25.43973872926972</v>
      </c>
      <c r="Q45" s="28">
        <f t="shared" si="8"/>
        <v>31.320245877852543</v>
      </c>
      <c r="R45" s="28">
        <f t="shared" si="9"/>
        <v>32.473400418561134</v>
      </c>
      <c r="S45" s="167"/>
      <c r="T45" s="409"/>
      <c r="U45" s="409">
        <f t="shared" si="10"/>
        <v>6.8931652621597364</v>
      </c>
      <c r="V45" s="409">
        <f t="shared" si="11"/>
        <v>146.55638604935513</v>
      </c>
      <c r="W45" s="409" t="s">
        <v>86</v>
      </c>
      <c r="X45" s="409">
        <f t="shared" si="12"/>
        <v>3.6387362987787213E-2</v>
      </c>
      <c r="Y45" s="409">
        <f t="shared" si="13"/>
        <v>0.14990426029640461</v>
      </c>
      <c r="Z45" s="409">
        <f>U46</f>
        <v>10.578096981077916</v>
      </c>
      <c r="AA45" s="409">
        <f>$U$43</f>
        <v>4.8170988658851615</v>
      </c>
      <c r="AB45" s="409">
        <f>Z45-AA45</f>
        <v>5.7609981151927547</v>
      </c>
      <c r="AC45" s="409">
        <f>Y45-X45</f>
        <v>0.11351689730861739</v>
      </c>
      <c r="AD45" s="409">
        <f t="shared" si="14"/>
        <v>50.750137219927531</v>
      </c>
      <c r="AE45" s="409">
        <f>-((X45)*AD45)+AA45</f>
        <v>2.9704352011836481</v>
      </c>
      <c r="AF45" s="409">
        <f t="shared" si="15"/>
        <v>50.750137219927531</v>
      </c>
      <c r="AG45" s="409">
        <f t="shared" si="16"/>
        <v>2.9704352011836481</v>
      </c>
      <c r="AH45" s="409">
        <f t="shared" si="17"/>
        <v>50.750137219927531</v>
      </c>
      <c r="AI45" s="409"/>
      <c r="AJ45" s="409"/>
      <c r="AK45" s="409"/>
      <c r="AL45" s="409"/>
      <c r="AM45" s="409"/>
      <c r="AN45" s="409"/>
      <c r="AO45" s="409"/>
      <c r="AP45" s="409"/>
      <c r="AQ45" s="409"/>
      <c r="AR45" s="48"/>
      <c r="AS45" s="48"/>
      <c r="AT45" s="48"/>
      <c r="AU45" s="48"/>
      <c r="AV45" s="48"/>
      <c r="AW45" s="48"/>
      <c r="AX45" s="48"/>
    </row>
    <row r="46" spans="1:50" ht="15">
      <c r="A46" s="50"/>
      <c r="B46" s="147"/>
      <c r="C46" s="152">
        <v>4</v>
      </c>
      <c r="D46" s="165" t="s">
        <v>5</v>
      </c>
      <c r="E46" s="28">
        <f t="shared" si="0"/>
        <v>2.4673818877722957</v>
      </c>
      <c r="F46" s="166">
        <v>3.7</v>
      </c>
      <c r="G46" s="28">
        <f t="shared" si="1"/>
        <v>4.3287433278341441</v>
      </c>
      <c r="H46" s="175">
        <f t="shared" si="2"/>
        <v>1.946689772396065</v>
      </c>
      <c r="I46" s="28">
        <f t="shared" si="3"/>
        <v>0.36987105675525234</v>
      </c>
      <c r="J46" s="28">
        <f>IF('Ángulo de Inclinación'!$O$24=2,'Ángulo de Inclinación'!E31*Consumos!$F$46,'Ángulo de Inclinación'!F31*Consumos!$F$46)/1000</f>
        <v>26.10020489821045</v>
      </c>
      <c r="K46" s="28">
        <f t="shared" si="4"/>
        <v>51.236353711915001</v>
      </c>
      <c r="L46" s="535"/>
      <c r="M46" s="28">
        <f t="shared" si="5"/>
        <v>84.611435437379441</v>
      </c>
      <c r="N46" s="28">
        <f t="shared" si="6"/>
        <v>25.795737267490686</v>
      </c>
      <c r="O46" s="535"/>
      <c r="P46" s="28">
        <f t="shared" si="7"/>
        <v>30.763327994814766</v>
      </c>
      <c r="Q46" s="28">
        <f t="shared" si="8"/>
        <v>28.361089162650558</v>
      </c>
      <c r="R46" s="28">
        <f t="shared" si="9"/>
        <v>34.240703360717923</v>
      </c>
      <c r="S46" s="167"/>
      <c r="T46" s="409"/>
      <c r="U46" s="409">
        <f t="shared" si="10"/>
        <v>10.578096981077916</v>
      </c>
      <c r="V46" s="409">
        <f t="shared" si="11"/>
        <v>70.565686126344389</v>
      </c>
      <c r="W46" s="409" t="s">
        <v>87</v>
      </c>
      <c r="X46" s="409">
        <f t="shared" si="12"/>
        <v>3.6387362987787213E-2</v>
      </c>
      <c r="Y46" s="409">
        <f t="shared" si="13"/>
        <v>0.15333544790357864</v>
      </c>
      <c r="Z46" s="409">
        <f>U47</f>
        <v>16.725972253763082</v>
      </c>
      <c r="AA46" s="409">
        <f>$U$43</f>
        <v>4.8170988658851615</v>
      </c>
      <c r="AB46" s="409">
        <f>Z46-AA46</f>
        <v>11.908873387877922</v>
      </c>
      <c r="AC46" s="409">
        <f>Y46-X46</f>
        <v>0.11694808491579142</v>
      </c>
      <c r="AD46" s="409">
        <f t="shared" si="14"/>
        <v>101.83042669277498</v>
      </c>
      <c r="AE46" s="409">
        <f>-((X46)*AD46)+AA46</f>
        <v>1.1117581666139023</v>
      </c>
      <c r="AF46" s="409">
        <f t="shared" si="15"/>
        <v>101.83042669277498</v>
      </c>
      <c r="AG46" s="409">
        <f t="shared" si="16"/>
        <v>1.1117581666139023</v>
      </c>
      <c r="AH46" s="409">
        <f t="shared" si="17"/>
        <v>101.83042669277498</v>
      </c>
      <c r="AI46" s="409"/>
      <c r="AJ46" s="409"/>
      <c r="AK46" s="409"/>
      <c r="AL46" s="409"/>
      <c r="AM46" s="409"/>
      <c r="AN46" s="409"/>
      <c r="AO46" s="409"/>
      <c r="AP46" s="409"/>
      <c r="AQ46" s="409"/>
      <c r="AR46" s="48"/>
      <c r="AS46" s="48"/>
      <c r="AT46" s="48"/>
      <c r="AU46" s="48"/>
      <c r="AV46" s="48"/>
      <c r="AW46" s="48"/>
      <c r="AX46" s="48"/>
    </row>
    <row r="47" spans="1:50" ht="15">
      <c r="A47" s="50"/>
      <c r="B47" s="147"/>
      <c r="C47" s="152">
        <v>5</v>
      </c>
      <c r="D47" s="165" t="s">
        <v>6</v>
      </c>
      <c r="E47" s="28">
        <f t="shared" si="0"/>
        <v>1.5604596553326406</v>
      </c>
      <c r="F47" s="166">
        <v>3.2</v>
      </c>
      <c r="G47" s="28">
        <f t="shared" si="1"/>
        <v>3.7437780132619625</v>
      </c>
      <c r="H47" s="175">
        <f t="shared" si="2"/>
        <v>1.2593356851889179</v>
      </c>
      <c r="I47" s="28">
        <f t="shared" si="3"/>
        <v>0.2392737801858944</v>
      </c>
      <c r="J47" s="28">
        <f>IF('Ángulo de Inclinación'!$O$24=2,'Ángulo de Inclinación'!E32*Consumos!$F$46,'Ángulo de Inclinación'!F32*Consumos!$F$46)/1000</f>
        <v>26.10020489821045</v>
      </c>
      <c r="K47" s="28">
        <f t="shared" si="4"/>
        <v>32.403683941273464</v>
      </c>
      <c r="L47" s="536"/>
      <c r="M47" s="28">
        <f t="shared" si="5"/>
        <v>54.736096902691841</v>
      </c>
      <c r="N47" s="28">
        <f t="shared" si="6"/>
        <v>16.531213464853636</v>
      </c>
      <c r="O47" s="536"/>
      <c r="P47" s="28">
        <f t="shared" si="7"/>
        <v>19.755058532283716</v>
      </c>
      <c r="Q47" s="28">
        <f t="shared" si="8"/>
        <v>18.104288666742484</v>
      </c>
      <c r="R47" s="28">
        <f t="shared" si="9"/>
        <v>21.930941565977569</v>
      </c>
      <c r="S47" s="167"/>
      <c r="T47" s="409"/>
      <c r="U47" s="409">
        <f t="shared" si="10"/>
        <v>16.725972253763082</v>
      </c>
      <c r="V47" s="409">
        <f t="shared" si="11"/>
        <v>109.08092344231331</v>
      </c>
      <c r="W47" s="409" t="s">
        <v>88</v>
      </c>
      <c r="X47" s="409">
        <f t="shared" si="12"/>
        <v>3.6387362987787213E-2</v>
      </c>
      <c r="Y47" s="409">
        <f t="shared" si="13"/>
        <v>0.2283388729207583</v>
      </c>
      <c r="Z47" s="409">
        <f t="shared" ref="Z47:Z53" si="18">U48</f>
        <v>20.765473705480726</v>
      </c>
      <c r="AA47" s="409">
        <f t="shared" ref="AA47:AA53" si="19">$U$43</f>
        <v>4.8170988658851615</v>
      </c>
      <c r="AB47" s="409">
        <f t="shared" ref="AB47:AB53" si="20">Z47-AA47</f>
        <v>15.948374839595566</v>
      </c>
      <c r="AC47" s="409">
        <f t="shared" ref="AC47:AC53" si="21">Y47-X47</f>
        <v>0.19195150993297108</v>
      </c>
      <c r="AD47" s="409">
        <f t="shared" si="14"/>
        <v>83.085435718451464</v>
      </c>
      <c r="AE47" s="409">
        <f t="shared" ref="AE47:AE52" si="22">-((X47)*AD47)+AA47</f>
        <v>1.7938389573994069</v>
      </c>
      <c r="AF47" s="409">
        <f t="shared" si="15"/>
        <v>83.085435718451464</v>
      </c>
      <c r="AG47" s="409">
        <f t="shared" si="16"/>
        <v>1.7938389573994069</v>
      </c>
      <c r="AH47" s="409">
        <f t="shared" si="17"/>
        <v>83.085435718451464</v>
      </c>
      <c r="AI47" s="409"/>
      <c r="AJ47" s="409"/>
      <c r="AK47" s="409"/>
      <c r="AL47" s="409"/>
      <c r="AM47" s="409"/>
      <c r="AN47" s="409"/>
      <c r="AO47" s="409"/>
      <c r="AP47" s="409"/>
      <c r="AQ47" s="409"/>
      <c r="AR47" s="48"/>
      <c r="AS47" s="48"/>
      <c r="AT47" s="48"/>
      <c r="AU47" s="48"/>
      <c r="AV47" s="48"/>
      <c r="AW47" s="48"/>
      <c r="AX47" s="48"/>
    </row>
    <row r="48" spans="1:50" ht="15">
      <c r="A48" s="50"/>
      <c r="B48" s="147"/>
      <c r="C48" s="152">
        <v>6</v>
      </c>
      <c r="D48" s="165" t="s">
        <v>7</v>
      </c>
      <c r="E48" s="28">
        <f t="shared" si="0"/>
        <v>1.256903900599277</v>
      </c>
      <c r="F48" s="166">
        <v>3.4</v>
      </c>
      <c r="G48" s="28">
        <f t="shared" si="1"/>
        <v>3.9777641390908349</v>
      </c>
      <c r="H48" s="175">
        <f t="shared" si="2"/>
        <v>1.5105264212239145</v>
      </c>
      <c r="I48" s="28">
        <f t="shared" si="3"/>
        <v>0.28700002003254377</v>
      </c>
      <c r="J48" s="28">
        <f>IF('Ángulo de Inclinación'!$O$24=2,'Ángulo de Inclinación'!E33*Consumos!$F$46,'Ángulo de Inclinación'!F33*Consumos!$F$46)/1000</f>
        <v>26.10020489821045</v>
      </c>
      <c r="K48" s="28">
        <f t="shared" si="4"/>
        <v>26.100204898210446</v>
      </c>
      <c r="L48" s="535"/>
      <c r="M48" s="28">
        <f t="shared" si="5"/>
        <v>65.653917012432871</v>
      </c>
      <c r="N48" s="28">
        <f t="shared" si="6"/>
        <v>17.137465613951651</v>
      </c>
      <c r="O48" s="535"/>
      <c r="P48" s="28">
        <f t="shared" si="7"/>
        <v>21.180855874754499</v>
      </c>
      <c r="Q48" s="28">
        <f t="shared" si="8"/>
        <v>17.535726842904978</v>
      </c>
      <c r="R48" s="28">
        <f t="shared" si="9"/>
        <v>22.522653299848596</v>
      </c>
      <c r="S48" s="167"/>
      <c r="T48" s="409"/>
      <c r="U48" s="409">
        <f t="shared" si="10"/>
        <v>20.765473705480726</v>
      </c>
      <c r="V48" s="409">
        <f t="shared" si="11"/>
        <v>90.941474133872433</v>
      </c>
      <c r="W48" s="409" t="s">
        <v>89</v>
      </c>
      <c r="X48" s="409">
        <f t="shared" si="12"/>
        <v>3.6387362987787213E-2</v>
      </c>
      <c r="Y48" s="409">
        <f t="shared" si="13"/>
        <v>0.18446179975112231</v>
      </c>
      <c r="Z48" s="409">
        <f t="shared" si="18"/>
        <v>18.346928261919611</v>
      </c>
      <c r="AA48" s="409">
        <f t="shared" si="19"/>
        <v>4.8170988658851615</v>
      </c>
      <c r="AB48" s="409">
        <f t="shared" si="20"/>
        <v>13.529829396034451</v>
      </c>
      <c r="AC48" s="409">
        <f t="shared" si="21"/>
        <v>0.14807443676333509</v>
      </c>
      <c r="AD48" s="409">
        <f t="shared" si="14"/>
        <v>91.371810636423035</v>
      </c>
      <c r="AE48" s="409">
        <f t="shared" si="22"/>
        <v>1.4923196254062798</v>
      </c>
      <c r="AF48" s="409">
        <f t="shared" si="15"/>
        <v>91.371810636423035</v>
      </c>
      <c r="AG48" s="409">
        <f t="shared" si="16"/>
        <v>1.4923196254062798</v>
      </c>
      <c r="AH48" s="409">
        <f t="shared" si="17"/>
        <v>91.371810636423035</v>
      </c>
      <c r="AI48" s="409"/>
      <c r="AJ48" s="409"/>
      <c r="AK48" s="409"/>
      <c r="AL48" s="409"/>
      <c r="AM48" s="409"/>
      <c r="AN48" s="409"/>
      <c r="AO48" s="409"/>
      <c r="AP48" s="409"/>
      <c r="AQ48" s="409"/>
      <c r="AR48" s="48"/>
      <c r="AS48" s="48"/>
      <c r="AT48" s="48"/>
      <c r="AU48" s="48"/>
      <c r="AV48" s="48"/>
      <c r="AW48" s="48"/>
      <c r="AX48" s="48"/>
    </row>
    <row r="49" spans="1:50" ht="15">
      <c r="A49" s="50"/>
      <c r="B49" s="147"/>
      <c r="C49" s="152">
        <v>7</v>
      </c>
      <c r="D49" s="165" t="s">
        <v>8</v>
      </c>
      <c r="E49" s="28">
        <f t="shared" si="0"/>
        <v>1.4225926283465842</v>
      </c>
      <c r="F49" s="166">
        <v>3.3</v>
      </c>
      <c r="G49" s="28">
        <f t="shared" si="1"/>
        <v>3.8607710761763983</v>
      </c>
      <c r="H49" s="175">
        <f t="shared" si="2"/>
        <v>1.381126297565739</v>
      </c>
      <c r="I49" s="28">
        <f t="shared" si="3"/>
        <v>0.26241399653749042</v>
      </c>
      <c r="J49" s="28">
        <f>IF('Ángulo de Inclinación'!$O$24=2,'Ángulo de Inclinación'!E34*Consumos!$F$46,'Ángulo de Inclinación'!F34*Consumos!$F$46)/1000</f>
        <v>26.10020489821045</v>
      </c>
      <c r="K49" s="28">
        <f t="shared" si="4"/>
        <v>29.54080981754171</v>
      </c>
      <c r="L49" s="536"/>
      <c r="M49" s="28">
        <f t="shared" si="5"/>
        <v>60.029636059327281</v>
      </c>
      <c r="N49" s="28">
        <f t="shared" si="6"/>
        <v>16.865920762583407</v>
      </c>
      <c r="O49" s="536"/>
      <c r="P49" s="28">
        <f t="shared" si="7"/>
        <v>20.484451195156581</v>
      </c>
      <c r="Q49" s="28">
        <f t="shared" si="8"/>
        <v>17.891932313913784</v>
      </c>
      <c r="R49" s="28">
        <f t="shared" si="9"/>
        <v>22.275133872230313</v>
      </c>
      <c r="S49" s="167"/>
      <c r="T49" s="409"/>
      <c r="U49" s="409">
        <f t="shared" si="10"/>
        <v>18.346928261919611</v>
      </c>
      <c r="V49" s="409">
        <f t="shared" si="11"/>
        <v>99.461938930843502</v>
      </c>
      <c r="W49" s="409" t="s">
        <v>90</v>
      </c>
      <c r="X49" s="409">
        <f t="shared" si="12"/>
        <v>3.6387362987787213E-2</v>
      </c>
      <c r="Y49" s="409">
        <f t="shared" si="13"/>
        <v>9.2962143042476256E-2</v>
      </c>
      <c r="Z49" s="409">
        <f t="shared" si="18"/>
        <v>12.306685537241748</v>
      </c>
      <c r="AA49" s="409">
        <f t="shared" si="19"/>
        <v>4.8170988658851615</v>
      </c>
      <c r="AB49" s="409">
        <f t="shared" si="20"/>
        <v>7.4895866713565864</v>
      </c>
      <c r="AC49" s="409">
        <f t="shared" si="21"/>
        <v>5.6574780054689043E-2</v>
      </c>
      <c r="AD49" s="409">
        <f t="shared" si="14"/>
        <v>132.3838407169527</v>
      </c>
      <c r="AE49" s="409">
        <f t="shared" si="22"/>
        <v>0</v>
      </c>
      <c r="AF49" s="409">
        <f t="shared" si="15"/>
        <v>132.3838407169527</v>
      </c>
      <c r="AG49" s="409">
        <f t="shared" si="16"/>
        <v>0</v>
      </c>
      <c r="AH49" s="409">
        <f t="shared" si="17"/>
        <v>132.3838407169527</v>
      </c>
      <c r="AI49" s="409"/>
      <c r="AJ49" s="409"/>
      <c r="AK49" s="409"/>
      <c r="AL49" s="409"/>
      <c r="AM49" s="409"/>
      <c r="AN49" s="409"/>
      <c r="AO49" s="409"/>
      <c r="AP49" s="409"/>
      <c r="AQ49" s="409"/>
      <c r="AR49" s="48"/>
      <c r="AS49" s="48"/>
      <c r="AT49" s="48"/>
      <c r="AU49" s="48"/>
      <c r="AV49" s="48"/>
      <c r="AW49" s="48"/>
      <c r="AX49" s="48"/>
    </row>
    <row r="50" spans="1:50" ht="15">
      <c r="A50" s="50"/>
      <c r="B50" s="147"/>
      <c r="C50" s="152">
        <v>8</v>
      </c>
      <c r="D50" s="165" t="s">
        <v>9</v>
      </c>
      <c r="E50" s="28">
        <f t="shared" si="0"/>
        <v>2.1208151308674936</v>
      </c>
      <c r="F50" s="166">
        <v>3</v>
      </c>
      <c r="G50" s="28">
        <f t="shared" si="1"/>
        <v>3.5097918874330896</v>
      </c>
      <c r="H50" s="175">
        <f t="shared" si="2"/>
        <v>1.0376606292755366</v>
      </c>
      <c r="I50" s="28">
        <f t="shared" si="3"/>
        <v>0.19715551956235194</v>
      </c>
      <c r="J50" s="28">
        <f>IF('Ángulo de Inclinación'!$O$24=2,'Ángulo de Inclinación'!E35*Consumos!$F$46,'Ángulo de Inclinación'!F35*Consumos!$F$46)/1000</f>
        <v>26.10020489821045</v>
      </c>
      <c r="K50" s="28">
        <f t="shared" si="4"/>
        <v>44.039730834214602</v>
      </c>
      <c r="L50" s="535"/>
      <c r="M50" s="28">
        <f t="shared" si="5"/>
        <v>45.101154064107654</v>
      </c>
      <c r="N50" s="28">
        <f t="shared" si="6"/>
        <v>17.276375059970597</v>
      </c>
      <c r="O50" s="535"/>
      <c r="P50" s="28">
        <f t="shared" si="7"/>
        <v>19.693008252587646</v>
      </c>
      <c r="Q50" s="28">
        <f t="shared" si="8"/>
        <v>20.594348046620958</v>
      </c>
      <c r="R50" s="28">
        <f t="shared" si="9"/>
        <v>23.208208694482657</v>
      </c>
      <c r="S50" s="167"/>
      <c r="T50" s="409"/>
      <c r="U50" s="409">
        <f t="shared" si="10"/>
        <v>12.306685537241748</v>
      </c>
      <c r="V50" s="409">
        <f t="shared" si="11"/>
        <v>132.38384071695268</v>
      </c>
      <c r="W50" s="409" t="s">
        <v>91</v>
      </c>
      <c r="X50" s="409">
        <f t="shared" si="12"/>
        <v>3.6387362987787213E-2</v>
      </c>
      <c r="Y50" s="409">
        <f t="shared" si="13"/>
        <v>6.6553342184203626E-2</v>
      </c>
      <c r="Z50" s="409">
        <f t="shared" si="18"/>
        <v>7.9851582818351332</v>
      </c>
      <c r="AA50" s="409">
        <f t="shared" si="19"/>
        <v>4.8170988658851615</v>
      </c>
      <c r="AB50" s="409">
        <f t="shared" si="20"/>
        <v>3.1680594159499718</v>
      </c>
      <c r="AC50" s="409">
        <f t="shared" si="21"/>
        <v>3.0165979196416413E-2</v>
      </c>
      <c r="AD50" s="409">
        <f t="shared" si="14"/>
        <v>105.02093750453568</v>
      </c>
      <c r="AE50" s="409">
        <f t="shared" si="22"/>
        <v>0.99566389158990587</v>
      </c>
      <c r="AF50" s="409">
        <f t="shared" si="15"/>
        <v>105.02093750453568</v>
      </c>
      <c r="AG50" s="409">
        <f t="shared" si="16"/>
        <v>0.99566389158990587</v>
      </c>
      <c r="AH50" s="409">
        <f t="shared" si="17"/>
        <v>105.02093750453568</v>
      </c>
      <c r="AI50" s="409"/>
      <c r="AJ50" s="409"/>
      <c r="AK50" s="409"/>
      <c r="AL50" s="409"/>
      <c r="AM50" s="409"/>
      <c r="AN50" s="409"/>
      <c r="AO50" s="409"/>
      <c r="AP50" s="409"/>
      <c r="AQ50" s="409"/>
      <c r="AR50" s="48"/>
      <c r="AS50" s="48"/>
      <c r="AT50" s="48"/>
      <c r="AU50" s="48"/>
      <c r="AV50" s="48"/>
      <c r="AW50" s="48"/>
      <c r="AX50" s="48"/>
    </row>
    <row r="51" spans="1:50" ht="15">
      <c r="A51" s="50"/>
      <c r="B51" s="147"/>
      <c r="C51" s="152">
        <v>9</v>
      </c>
      <c r="D51" s="165" t="s">
        <v>244</v>
      </c>
      <c r="E51" s="28">
        <f t="shared" si="0"/>
        <v>3.2685895478845977</v>
      </c>
      <c r="F51" s="166">
        <v>3.1</v>
      </c>
      <c r="G51" s="28">
        <f t="shared" si="1"/>
        <v>3.6267849503475258</v>
      </c>
      <c r="H51" s="175">
        <f t="shared" si="2"/>
        <v>1.1449239928425001</v>
      </c>
      <c r="I51" s="28">
        <f t="shared" si="3"/>
        <v>0.21753555864007504</v>
      </c>
      <c r="J51" s="28">
        <f>IF('Ángulo de Inclinación'!$O$24=2,'Ángulo de Inclinación'!E36*Consumos!$F$46,'Ángulo de Inclinación'!F36*Consumos!$F$46)/1000</f>
        <v>26.10020489821045</v>
      </c>
      <c r="K51" s="28">
        <f t="shared" si="4"/>
        <v>67.873810310606743</v>
      </c>
      <c r="L51" s="536"/>
      <c r="M51" s="28">
        <f t="shared" si="5"/>
        <v>49.763277063845592</v>
      </c>
      <c r="N51" s="28">
        <f t="shared" si="6"/>
        <v>23.126617738098858</v>
      </c>
      <c r="O51" s="536"/>
      <c r="P51" s="28">
        <f t="shared" si="7"/>
        <v>25.5264801056619</v>
      </c>
      <c r="Q51" s="28">
        <f t="shared" si="8"/>
        <v>29.035774812831786</v>
      </c>
      <c r="R51" s="28">
        <f t="shared" si="9"/>
        <v>31.320245877852535</v>
      </c>
      <c r="S51" s="167"/>
      <c r="T51" s="409"/>
      <c r="U51" s="409">
        <f t="shared" si="10"/>
        <v>7.9851582818351332</v>
      </c>
      <c r="V51" s="409">
        <f t="shared" si="11"/>
        <v>119.98132655358071</v>
      </c>
      <c r="W51" s="409" t="s">
        <v>92</v>
      </c>
      <c r="X51" s="409">
        <f t="shared" si="12"/>
        <v>3.6387362987787213E-2</v>
      </c>
      <c r="Y51" s="409">
        <f t="shared" si="13"/>
        <v>3.1960326331748931E-2</v>
      </c>
      <c r="Z51" s="409">
        <f t="shared" si="18"/>
        <v>6.4996489679011251</v>
      </c>
      <c r="AA51" s="409">
        <f t="shared" si="19"/>
        <v>4.8170988658851615</v>
      </c>
      <c r="AB51" s="409">
        <f t="shared" si="20"/>
        <v>1.6825501020159637</v>
      </c>
      <c r="AC51" s="409">
        <f t="shared" si="21"/>
        <v>-4.4270366560382815E-3</v>
      </c>
      <c r="AD51" s="409">
        <f t="shared" si="14"/>
        <v>-380.0623832018739</v>
      </c>
      <c r="AE51" s="409">
        <f t="shared" si="22"/>
        <v>18.64656676145523</v>
      </c>
      <c r="AF51" s="409">
        <f t="shared" si="15"/>
        <v>0</v>
      </c>
      <c r="AG51" s="409">
        <f t="shared" si="16"/>
        <v>18.64656676145523</v>
      </c>
      <c r="AH51" s="409" t="str">
        <f t="shared" si="17"/>
        <v/>
      </c>
      <c r="AI51" s="409"/>
      <c r="AJ51" s="409"/>
      <c r="AK51" s="409"/>
      <c r="AL51" s="409"/>
      <c r="AM51" s="409"/>
      <c r="AN51" s="409"/>
      <c r="AO51" s="409"/>
      <c r="AP51" s="409"/>
      <c r="AQ51" s="409"/>
      <c r="AR51" s="48"/>
      <c r="AS51" s="48"/>
      <c r="AT51" s="48"/>
      <c r="AU51" s="48"/>
      <c r="AV51" s="48"/>
      <c r="AW51" s="48"/>
      <c r="AX51" s="48"/>
    </row>
    <row r="52" spans="1:50" ht="15">
      <c r="A52" s="50"/>
      <c r="B52" s="147"/>
      <c r="C52" s="152">
        <v>10</v>
      </c>
      <c r="D52" s="165" t="s">
        <v>245</v>
      </c>
      <c r="E52" s="28">
        <f t="shared" si="0"/>
        <v>4.0156330021986957</v>
      </c>
      <c r="F52" s="166">
        <v>2.6</v>
      </c>
      <c r="G52" s="28">
        <f t="shared" si="1"/>
        <v>3.0418196357753442</v>
      </c>
      <c r="H52" s="175">
        <f t="shared" si="2"/>
        <v>0.67547863778321582</v>
      </c>
      <c r="I52" s="28">
        <f t="shared" si="3"/>
        <v>0.12834094117881101</v>
      </c>
      <c r="J52" s="28">
        <f>IF('Ángulo de Inclinación'!$O$24=2,'Ángulo de Inclinación'!E37*Consumos!$F$46,'Ángulo de Inclinación'!F37*Consumos!$F$46)/1000</f>
        <v>26.10020489821045</v>
      </c>
      <c r="K52" s="28">
        <f t="shared" si="4"/>
        <v>83.386521518017645</v>
      </c>
      <c r="L52" s="535"/>
      <c r="M52" s="28">
        <f t="shared" si="5"/>
        <v>29.359180882620592</v>
      </c>
      <c r="N52" s="28">
        <f t="shared" si="6"/>
        <v>22.780327947189111</v>
      </c>
      <c r="O52" s="535"/>
      <c r="P52" s="28">
        <f t="shared" si="7"/>
        <v>23.59695817007098</v>
      </c>
      <c r="Q52" s="28">
        <f t="shared" si="8"/>
        <v>31.320245877852543</v>
      </c>
      <c r="R52" s="28">
        <f t="shared" si="9"/>
        <v>31.320245877852539</v>
      </c>
      <c r="S52" s="167"/>
      <c r="T52" s="409"/>
      <c r="U52" s="409">
        <f t="shared" si="10"/>
        <v>6.4996489679011251</v>
      </c>
      <c r="V52" s="409">
        <f t="shared" si="11"/>
        <v>203.36616405084908</v>
      </c>
      <c r="W52" s="409" t="s">
        <v>93</v>
      </c>
      <c r="X52" s="409">
        <f t="shared" si="12"/>
        <v>3.6387362987787213E-2</v>
      </c>
      <c r="Y52" s="409">
        <f t="shared" si="13"/>
        <v>2.8267247122531796E-2</v>
      </c>
      <c r="Z52" s="409">
        <f t="shared" si="18"/>
        <v>4.6026522410510067</v>
      </c>
      <c r="AA52" s="409">
        <f t="shared" si="19"/>
        <v>4.8170988658851615</v>
      </c>
      <c r="AB52" s="409">
        <f t="shared" si="20"/>
        <v>-0.21444662483415478</v>
      </c>
      <c r="AC52" s="409">
        <f t="shared" si="21"/>
        <v>-8.1201158652554166E-3</v>
      </c>
      <c r="AD52" s="409">
        <f t="shared" si="14"/>
        <v>26.409306023789032</v>
      </c>
      <c r="AE52" s="409">
        <f t="shared" si="22"/>
        <v>3.8561338613419944</v>
      </c>
      <c r="AF52" s="409">
        <f t="shared" si="15"/>
        <v>26.409306023789032</v>
      </c>
      <c r="AG52" s="409">
        <f t="shared" si="16"/>
        <v>3.8561338613419944</v>
      </c>
      <c r="AH52" s="409">
        <f t="shared" si="17"/>
        <v>26.409306023789032</v>
      </c>
      <c r="AI52" s="409"/>
      <c r="AJ52" s="409"/>
      <c r="AK52" s="409"/>
      <c r="AL52" s="409"/>
      <c r="AM52" s="409"/>
      <c r="AN52" s="409"/>
      <c r="AO52" s="409"/>
      <c r="AP52" s="409"/>
      <c r="AQ52" s="409"/>
      <c r="AR52" s="48"/>
      <c r="AS52" s="48"/>
      <c r="AT52" s="48"/>
      <c r="AU52" s="48"/>
      <c r="AV52" s="48"/>
      <c r="AW52" s="48"/>
      <c r="AX52" s="48"/>
    </row>
    <row r="53" spans="1:50" ht="15">
      <c r="A53" s="50"/>
      <c r="B53" s="147"/>
      <c r="C53" s="152">
        <v>11</v>
      </c>
      <c r="D53" s="165" t="s">
        <v>10</v>
      </c>
      <c r="E53" s="28">
        <f t="shared" si="0"/>
        <v>5.6706880144936864</v>
      </c>
      <c r="F53" s="166">
        <v>2.8</v>
      </c>
      <c r="G53" s="28">
        <f t="shared" si="1"/>
        <v>3.2758057616042167</v>
      </c>
      <c r="H53" s="175">
        <f t="shared" si="2"/>
        <v>0.84365652347616948</v>
      </c>
      <c r="I53" s="28">
        <f t="shared" si="3"/>
        <v>0.16029473946047221</v>
      </c>
      <c r="J53" s="28">
        <f>IF('Ángulo de Inclinación'!$O$24=2,'Ángulo de Inclinación'!E38*Consumos!$F$46,'Ángulo de Inclinación'!F38*Consumos!$F$46)/1000</f>
        <v>26.10020489821045</v>
      </c>
      <c r="K53" s="28">
        <f t="shared" si="4"/>
        <v>117.75452285695336</v>
      </c>
      <c r="L53" s="536"/>
      <c r="M53" s="28">
        <f t="shared" si="5"/>
        <v>36.668908667233005</v>
      </c>
      <c r="N53" s="28">
        <f t="shared" si="6"/>
        <v>31.320245877852539</v>
      </c>
      <c r="O53" s="536"/>
      <c r="P53" s="28">
        <f t="shared" si="7"/>
        <v>32.152076743135183</v>
      </c>
      <c r="Q53" s="28">
        <f t="shared" si="8"/>
        <v>43.572918792105284</v>
      </c>
      <c r="R53" s="28">
        <f t="shared" si="9"/>
        <v>43.149801061219577</v>
      </c>
      <c r="S53" s="167"/>
      <c r="T53" s="409"/>
      <c r="U53" s="409">
        <f t="shared" si="10"/>
        <v>4.6026522410510067</v>
      </c>
      <c r="V53" s="409">
        <f t="shared" si="11"/>
        <v>162.82633470106245</v>
      </c>
      <c r="W53" s="409" t="s">
        <v>94</v>
      </c>
      <c r="X53" s="409">
        <f t="shared" si="12"/>
        <v>3.6387362987787213E-2</v>
      </c>
      <c r="Y53" s="409">
        <f t="shared" si="13"/>
        <v>1.8708294187878879E-2</v>
      </c>
      <c r="Z53" s="409">
        <f t="shared" si="18"/>
        <v>4.279695847811797</v>
      </c>
      <c r="AA53" s="409">
        <f t="shared" si="19"/>
        <v>4.8170988658851615</v>
      </c>
      <c r="AB53" s="409">
        <f t="shared" si="20"/>
        <v>-0.53740301807336444</v>
      </c>
      <c r="AC53" s="409">
        <f t="shared" si="21"/>
        <v>-1.7679068799908333E-2</v>
      </c>
      <c r="AD53" s="409">
        <f t="shared" si="14"/>
        <v>30.397699344670851</v>
      </c>
      <c r="AE53" s="409">
        <f>-((X53)*AD53)+AA53</f>
        <v>3.7110067458370017</v>
      </c>
      <c r="AF53" s="409">
        <f t="shared" si="15"/>
        <v>30.397699344670851</v>
      </c>
      <c r="AG53" s="409">
        <f t="shared" si="16"/>
        <v>3.7110067458370017</v>
      </c>
      <c r="AH53" s="409">
        <f>IF(AF53&gt;0,AF53,"")</f>
        <v>30.397699344670851</v>
      </c>
      <c r="AI53" s="409"/>
      <c r="AJ53" s="409"/>
      <c r="AK53" s="409"/>
      <c r="AL53" s="409"/>
      <c r="AM53" s="409"/>
      <c r="AN53" s="409"/>
      <c r="AO53" s="409"/>
      <c r="AP53" s="409"/>
      <c r="AQ53" s="409"/>
      <c r="AR53" s="48"/>
      <c r="AS53" s="48"/>
      <c r="AT53" s="48"/>
      <c r="AU53" s="48"/>
      <c r="AV53" s="48"/>
      <c r="AW53" s="48"/>
      <c r="AX53" s="48"/>
    </row>
    <row r="54" spans="1:50" ht="15">
      <c r="A54" s="50"/>
      <c r="B54" s="147"/>
      <c r="C54" s="152">
        <v>12</v>
      </c>
      <c r="D54" s="165" t="s">
        <v>11</v>
      </c>
      <c r="E54" s="28">
        <f t="shared" si="0"/>
        <v>6.098612103838045</v>
      </c>
      <c r="F54" s="166">
        <v>2.5</v>
      </c>
      <c r="G54" s="28">
        <f t="shared" si="1"/>
        <v>2.924826572860908</v>
      </c>
      <c r="H54" s="175">
        <f t="shared" si="2"/>
        <v>0.60049804934926887</v>
      </c>
      <c r="I54" s="28">
        <f t="shared" si="3"/>
        <v>0.11409462937636108</v>
      </c>
      <c r="J54" s="28">
        <f>IF('Ángulo de Inclinación'!$O$24=2,'Ángulo de Inclinación'!E39*Consumos!$F$46,'Ángulo de Inclinación'!F39*Consumos!$F$46)/1000</f>
        <v>26.10020489821045</v>
      </c>
      <c r="K54" s="28">
        <f t="shared" si="4"/>
        <v>126.64056928217542</v>
      </c>
      <c r="L54" s="168"/>
      <c r="M54" s="28">
        <f t="shared" si="5"/>
        <v>26.10020489821045</v>
      </c>
      <c r="N54" s="28">
        <f t="shared" si="6"/>
        <v>31.320245877852543</v>
      </c>
      <c r="O54" s="168"/>
      <c r="P54" s="28">
        <f t="shared" si="7"/>
        <v>31.320245877852535</v>
      </c>
      <c r="Q54" s="28">
        <f t="shared" si="8"/>
        <v>45.034790147649161</v>
      </c>
      <c r="R54" s="28">
        <f t="shared" si="9"/>
        <v>43.40192492195105</v>
      </c>
      <c r="S54" s="167"/>
      <c r="T54" s="409"/>
      <c r="U54" s="409">
        <f t="shared" si="10"/>
        <v>4.279695847811797</v>
      </c>
      <c r="V54" s="409">
        <f t="shared" si="11"/>
        <v>228.75927675889423</v>
      </c>
      <c r="W54" s="409" t="s">
        <v>97</v>
      </c>
      <c r="X54" s="409">
        <f>IF($U$44=0,0,$U$44/$V$44)</f>
        <v>3.4089746633486288E-2</v>
      </c>
      <c r="Y54" s="409">
        <f>IF(V45=0,0,U45/V45)</f>
        <v>4.7034219715532261E-2</v>
      </c>
      <c r="Z54" s="409">
        <f>U45</f>
        <v>6.8931652621597364</v>
      </c>
      <c r="AA54" s="409">
        <f>$U$44</f>
        <v>4.996070067941921</v>
      </c>
      <c r="AB54" s="409">
        <f>Z54-AA54</f>
        <v>1.8970951942178154</v>
      </c>
      <c r="AC54" s="409">
        <f>Y54-X54</f>
        <v>1.2944473082045972E-2</v>
      </c>
      <c r="AD54" s="409">
        <f>IF(AC54=0,0,AB54/AC54)</f>
        <v>146.55638604935513</v>
      </c>
      <c r="AE54" s="409">
        <f>-((X54)*AD54)+AA54</f>
        <v>0</v>
      </c>
      <c r="AF54" s="409">
        <f t="shared" si="15"/>
        <v>146.55638604935513</v>
      </c>
      <c r="AG54" s="409">
        <f t="shared" si="16"/>
        <v>0</v>
      </c>
      <c r="AH54" s="409">
        <f t="shared" ref="AH54:AH73" si="23">IF(AF54&gt;0,AF54,"")</f>
        <v>146.55638604935513</v>
      </c>
      <c r="AI54" s="409">
        <f>MIN(AH54:AH63)</f>
        <v>46.573899484681242</v>
      </c>
      <c r="AJ54" s="409">
        <f>MAX(AG54:AG63)</f>
        <v>3.4083776347756798</v>
      </c>
      <c r="AK54" s="409">
        <f>IF(OR(AI54=0,AJ54=0),"",VLOOKUP(AI54,AF54:AG63,2,FALSE))</f>
        <v>3.4083776347756798</v>
      </c>
      <c r="AL54" s="409" t="str">
        <f>IF(AJ54=AK54,"ok","fallo")</f>
        <v>ok</v>
      </c>
      <c r="AM54" s="409">
        <f>IF($AL$54="ok",IF(AI54&lt;0.5,0.5,AI54),"")</f>
        <v>46.573899484681242</v>
      </c>
      <c r="AN54" s="409">
        <f>IF($AL$54="ok",AJ54,"")</f>
        <v>3.4083776347756798</v>
      </c>
      <c r="AO54" s="409">
        <f>IF(AM54="","",(AM54*$F$26)+(AN54*$F$25))</f>
        <v>33796.84026862427</v>
      </c>
      <c r="AP54" s="409">
        <f>AM54</f>
        <v>46.573899484681242</v>
      </c>
      <c r="AQ54" s="409">
        <f>AN54</f>
        <v>3.4083776347756798</v>
      </c>
      <c r="AR54" s="48"/>
      <c r="AS54" s="48"/>
      <c r="AT54" s="48"/>
      <c r="AU54" s="48"/>
      <c r="AV54" s="48"/>
      <c r="AW54" s="48"/>
      <c r="AX54" s="48"/>
    </row>
    <row r="55" spans="1:50">
      <c r="A55" s="50"/>
      <c r="B55" s="147"/>
      <c r="C55" s="148"/>
      <c r="D55" s="148"/>
      <c r="E55" s="148"/>
      <c r="F55" s="148"/>
      <c r="G55" s="148"/>
      <c r="H55" s="148"/>
      <c r="I55" s="148"/>
      <c r="J55" s="148"/>
      <c r="K55" s="148"/>
      <c r="L55" s="148"/>
      <c r="M55" s="148"/>
      <c r="N55" s="153"/>
      <c r="O55" s="153"/>
      <c r="P55" s="148"/>
      <c r="Q55" s="148"/>
      <c r="R55" s="148"/>
      <c r="S55" s="149"/>
      <c r="T55" s="409"/>
      <c r="U55" s="409"/>
      <c r="V55" s="409"/>
      <c r="W55" s="409" t="s">
        <v>101</v>
      </c>
      <c r="X55" s="409">
        <f t="shared" ref="X55:X63" si="24">IF($U$44=0,0,$U$44/$V$44)</f>
        <v>3.4089746633486288E-2</v>
      </c>
      <c r="Y55" s="409">
        <f t="shared" ref="Y55:Y63" si="25">IF(V46=0,0,U46/V46)</f>
        <v>0.14990426029640461</v>
      </c>
      <c r="Z55" s="409">
        <f>U46</f>
        <v>10.578096981077916</v>
      </c>
      <c r="AA55" s="409">
        <f>$U$44</f>
        <v>4.996070067941921</v>
      </c>
      <c r="AB55" s="409">
        <f>Z55-AA55</f>
        <v>5.5820269131359952</v>
      </c>
      <c r="AC55" s="409">
        <f>Y55-X55</f>
        <v>0.11581451366291831</v>
      </c>
      <c r="AD55" s="409">
        <f t="shared" ref="AD55:AD63" si="26">IF(AC55=0,0,AB55/AC55)</f>
        <v>48.197991223989902</v>
      </c>
      <c r="AE55" s="409">
        <f>-((X55)*AD55)+AA55</f>
        <v>3.3530127588731098</v>
      </c>
      <c r="AF55" s="409">
        <f t="shared" si="15"/>
        <v>48.197991223989902</v>
      </c>
      <c r="AG55" s="409">
        <f t="shared" si="16"/>
        <v>3.3530127588731098</v>
      </c>
      <c r="AH55" s="409">
        <f t="shared" si="23"/>
        <v>48.197991223989902</v>
      </c>
      <c r="AI55" s="409"/>
      <c r="AJ55" s="409"/>
      <c r="AK55" s="409"/>
      <c r="AL55" s="409"/>
      <c r="AM55" s="409"/>
      <c r="AN55" s="409"/>
      <c r="AO55" s="409"/>
      <c r="AP55" s="409"/>
      <c r="AQ55" s="409"/>
      <c r="AR55" s="48"/>
      <c r="AS55" s="48"/>
      <c r="AT55" s="48"/>
      <c r="AU55" s="48"/>
      <c r="AV55" s="48"/>
      <c r="AW55" s="48"/>
      <c r="AX55" s="48"/>
    </row>
    <row r="56" spans="1:50">
      <c r="A56" s="50"/>
      <c r="B56" s="147"/>
      <c r="C56" s="148"/>
      <c r="D56" s="148"/>
      <c r="E56" s="148"/>
      <c r="F56" s="148"/>
      <c r="G56" s="148"/>
      <c r="H56" s="148"/>
      <c r="I56" s="148"/>
      <c r="J56" s="148"/>
      <c r="K56" s="148"/>
      <c r="L56" s="148"/>
      <c r="M56" s="148"/>
      <c r="N56" s="148"/>
      <c r="O56" s="148"/>
      <c r="P56" s="153"/>
      <c r="Q56" s="153"/>
      <c r="R56" s="148"/>
      <c r="S56" s="149"/>
      <c r="T56" s="409"/>
      <c r="U56" s="409"/>
      <c r="V56" s="409"/>
      <c r="W56" s="409" t="s">
        <v>102</v>
      </c>
      <c r="X56" s="409">
        <f t="shared" si="24"/>
        <v>3.4089746633486288E-2</v>
      </c>
      <c r="Y56" s="409">
        <f t="shared" si="25"/>
        <v>0.15333544790357864</v>
      </c>
      <c r="Z56" s="409">
        <f t="shared" ref="Z56:Z63" si="27">U47</f>
        <v>16.725972253763082</v>
      </c>
      <c r="AA56" s="409">
        <f t="shared" ref="AA56:AA63" si="28">$U$44</f>
        <v>4.996070067941921</v>
      </c>
      <c r="AB56" s="409">
        <f t="shared" ref="AB56:AB64" si="29">Z56-AA56</f>
        <v>11.72990218582116</v>
      </c>
      <c r="AC56" s="409">
        <f t="shared" ref="AC56:AC64" si="30">Y56-X56</f>
        <v>0.11924570127009235</v>
      </c>
      <c r="AD56" s="409">
        <f t="shared" si="26"/>
        <v>98.367505586242061</v>
      </c>
      <c r="AE56" s="409">
        <f t="shared" ref="AE56:AE64" si="31">-((X56)*AD56)+AA56</f>
        <v>1.6427467255388821</v>
      </c>
      <c r="AF56" s="409">
        <f t="shared" ref="AF56:AF64" si="32">IF(OR(AD56&gt;$K$28,AD56&lt;0),0,AD56)</f>
        <v>98.367505586242061</v>
      </c>
      <c r="AG56" s="409">
        <f t="shared" ref="AG56:AG64" si="33">IF(OR(AE56&gt;$K$27,AE56&lt;0),0,AE56)</f>
        <v>1.6427467255388821</v>
      </c>
      <c r="AH56" s="409">
        <f t="shared" si="23"/>
        <v>98.367505586242061</v>
      </c>
      <c r="AI56" s="409"/>
      <c r="AJ56" s="409"/>
      <c r="AK56" s="409"/>
      <c r="AL56" s="409"/>
      <c r="AM56" s="409"/>
      <c r="AN56" s="409"/>
      <c r="AO56" s="409"/>
      <c r="AP56" s="409"/>
      <c r="AQ56" s="409"/>
      <c r="AR56" s="48"/>
      <c r="AS56" s="48"/>
      <c r="AT56" s="48"/>
      <c r="AU56" s="48"/>
      <c r="AV56" s="48"/>
      <c r="AW56" s="48"/>
      <c r="AX56" s="48"/>
    </row>
    <row r="57" spans="1:50" ht="15">
      <c r="A57" s="50"/>
      <c r="B57" s="169"/>
      <c r="C57" s="170"/>
      <c r="D57" s="171"/>
      <c r="E57" s="170"/>
      <c r="F57" s="170"/>
      <c r="G57" s="170"/>
      <c r="H57" s="170"/>
      <c r="I57" s="170"/>
      <c r="J57" s="170"/>
      <c r="K57" s="170"/>
      <c r="L57" s="170"/>
      <c r="M57" s="170"/>
      <c r="N57" s="172"/>
      <c r="O57" s="172"/>
      <c r="P57" s="170"/>
      <c r="Q57" s="170"/>
      <c r="R57" s="170"/>
      <c r="S57" s="173"/>
      <c r="T57" s="409"/>
      <c r="U57" s="409"/>
      <c r="V57" s="409"/>
      <c r="W57" s="409" t="s">
        <v>103</v>
      </c>
      <c r="X57" s="409">
        <f t="shared" si="24"/>
        <v>3.4089746633486288E-2</v>
      </c>
      <c r="Y57" s="409">
        <f t="shared" si="25"/>
        <v>0.2283388729207583</v>
      </c>
      <c r="Z57" s="409">
        <f t="shared" si="27"/>
        <v>20.765473705480726</v>
      </c>
      <c r="AA57" s="409">
        <f t="shared" si="28"/>
        <v>4.996070067941921</v>
      </c>
      <c r="AB57" s="409">
        <f t="shared" si="29"/>
        <v>15.769403637538804</v>
      </c>
      <c r="AC57" s="409">
        <f t="shared" si="30"/>
        <v>0.19424912628727201</v>
      </c>
      <c r="AD57" s="409">
        <f t="shared" si="26"/>
        <v>81.181336250736479</v>
      </c>
      <c r="AE57" s="409">
        <f t="shared" si="31"/>
        <v>2.2286188837864587</v>
      </c>
      <c r="AF57" s="409">
        <f t="shared" si="32"/>
        <v>81.181336250736479</v>
      </c>
      <c r="AG57" s="409">
        <f t="shared" si="33"/>
        <v>2.2286188837864587</v>
      </c>
      <c r="AH57" s="409">
        <f t="shared" si="23"/>
        <v>81.181336250736479</v>
      </c>
      <c r="AI57" s="409"/>
      <c r="AJ57" s="409"/>
      <c r="AK57" s="409"/>
      <c r="AL57" s="409"/>
      <c r="AM57" s="409"/>
      <c r="AN57" s="409"/>
      <c r="AO57" s="409"/>
      <c r="AP57" s="409"/>
      <c r="AQ57" s="409"/>
      <c r="AR57" s="48"/>
      <c r="AS57" s="48"/>
      <c r="AT57" s="48"/>
      <c r="AU57" s="48"/>
      <c r="AV57" s="48"/>
      <c r="AW57" s="48"/>
      <c r="AX57" s="48"/>
    </row>
    <row r="58" spans="1:50">
      <c r="A58" s="48"/>
      <c r="B58" s="48"/>
      <c r="C58" s="48"/>
      <c r="D58" s="48"/>
      <c r="E58" s="48"/>
      <c r="F58" s="48"/>
      <c r="G58" s="48"/>
      <c r="H58" s="48"/>
      <c r="I58" s="48"/>
      <c r="J58" s="48"/>
      <c r="K58" s="48"/>
      <c r="L58" s="48"/>
      <c r="M58" s="48"/>
      <c r="N58" s="48"/>
      <c r="O58" s="48"/>
      <c r="P58" s="51"/>
      <c r="Q58" s="51"/>
      <c r="R58" s="48"/>
      <c r="S58" s="48"/>
      <c r="T58" s="409"/>
      <c r="U58" s="409"/>
      <c r="V58" s="409"/>
      <c r="W58" s="409" t="s">
        <v>104</v>
      </c>
      <c r="X58" s="409">
        <f t="shared" si="24"/>
        <v>3.4089746633486288E-2</v>
      </c>
      <c r="Y58" s="409">
        <f t="shared" si="25"/>
        <v>0.18446179975112231</v>
      </c>
      <c r="Z58" s="409">
        <f t="shared" si="27"/>
        <v>18.346928261919611</v>
      </c>
      <c r="AA58" s="409">
        <f t="shared" si="28"/>
        <v>4.996070067941921</v>
      </c>
      <c r="AB58" s="409">
        <f t="shared" si="29"/>
        <v>13.35085819397769</v>
      </c>
      <c r="AC58" s="409">
        <f t="shared" si="30"/>
        <v>0.15037205311763602</v>
      </c>
      <c r="AD58" s="409">
        <f t="shared" si="26"/>
        <v>88.785501808193814</v>
      </c>
      <c r="AE58" s="409">
        <f t="shared" si="31"/>
        <v>1.9693948065736553</v>
      </c>
      <c r="AF58" s="409">
        <f t="shared" si="32"/>
        <v>88.785501808193814</v>
      </c>
      <c r="AG58" s="409">
        <f t="shared" si="33"/>
        <v>1.9693948065736553</v>
      </c>
      <c r="AH58" s="409">
        <f t="shared" si="23"/>
        <v>88.785501808193814</v>
      </c>
      <c r="AI58" s="409"/>
      <c r="AJ58" s="409"/>
      <c r="AK58" s="409"/>
      <c r="AL58" s="409"/>
      <c r="AM58" s="409"/>
      <c r="AN58" s="409"/>
      <c r="AO58" s="409"/>
      <c r="AP58" s="409"/>
      <c r="AQ58" s="409"/>
      <c r="AR58" s="48"/>
      <c r="AS58" s="48"/>
      <c r="AT58" s="48"/>
      <c r="AU58" s="48"/>
      <c r="AV58" s="48"/>
      <c r="AW58" s="48"/>
      <c r="AX58" s="48"/>
    </row>
    <row r="59" spans="1:50">
      <c r="A59" s="48"/>
      <c r="B59" s="48"/>
      <c r="C59" s="48"/>
      <c r="D59" s="48"/>
      <c r="E59" s="48"/>
      <c r="F59" s="48"/>
      <c r="G59" s="48"/>
      <c r="H59" s="48"/>
      <c r="I59" s="48"/>
      <c r="J59" s="48"/>
      <c r="K59" s="48"/>
      <c r="L59" s="48"/>
      <c r="M59" s="48"/>
      <c r="N59" s="51"/>
      <c r="O59" s="51"/>
      <c r="P59" s="48"/>
      <c r="Q59" s="48"/>
      <c r="R59" s="48"/>
      <c r="S59" s="48"/>
      <c r="T59" s="409"/>
      <c r="U59" s="409"/>
      <c r="V59" s="409"/>
      <c r="W59" s="409" t="s">
        <v>105</v>
      </c>
      <c r="X59" s="409">
        <f t="shared" si="24"/>
        <v>3.4089746633486288E-2</v>
      </c>
      <c r="Y59" s="409">
        <f t="shared" si="25"/>
        <v>9.2962143042476256E-2</v>
      </c>
      <c r="Z59" s="409">
        <f t="shared" si="27"/>
        <v>12.306685537241748</v>
      </c>
      <c r="AA59" s="409">
        <f t="shared" si="28"/>
        <v>4.996070067941921</v>
      </c>
      <c r="AB59" s="409">
        <f t="shared" si="29"/>
        <v>7.3106154692998269</v>
      </c>
      <c r="AC59" s="409">
        <f t="shared" si="30"/>
        <v>5.8872396408989967E-2</v>
      </c>
      <c r="AD59" s="409">
        <f t="shared" si="26"/>
        <v>124.17730405456159</v>
      </c>
      <c r="AE59" s="409">
        <f t="shared" si="31"/>
        <v>0.76289723509252649</v>
      </c>
      <c r="AF59" s="409">
        <f t="shared" si="32"/>
        <v>124.17730405456159</v>
      </c>
      <c r="AG59" s="409">
        <f t="shared" si="33"/>
        <v>0.76289723509252649</v>
      </c>
      <c r="AH59" s="409">
        <f t="shared" si="23"/>
        <v>124.17730405456159</v>
      </c>
      <c r="AI59" s="409"/>
      <c r="AJ59" s="409"/>
      <c r="AK59" s="409"/>
      <c r="AL59" s="409"/>
      <c r="AM59" s="409"/>
      <c r="AN59" s="409"/>
      <c r="AO59" s="409"/>
      <c r="AP59" s="409"/>
      <c r="AQ59" s="409"/>
      <c r="AR59" s="48"/>
      <c r="AS59" s="48"/>
      <c r="AT59" s="48"/>
      <c r="AU59" s="48"/>
      <c r="AV59" s="48"/>
      <c r="AW59" s="48"/>
      <c r="AX59" s="48"/>
    </row>
    <row r="60" spans="1:50">
      <c r="A60" s="48"/>
      <c r="B60" s="48"/>
      <c r="C60" s="48"/>
      <c r="D60" s="48"/>
      <c r="E60" s="48"/>
      <c r="F60" s="48"/>
      <c r="G60" s="48"/>
      <c r="H60" s="48"/>
      <c r="I60" s="48"/>
      <c r="J60" s="48"/>
      <c r="K60" s="48"/>
      <c r="L60" s="48"/>
      <c r="M60" s="48"/>
      <c r="N60" s="48"/>
      <c r="O60" s="48"/>
      <c r="P60" s="51"/>
      <c r="Q60" s="51"/>
      <c r="R60" s="48"/>
      <c r="S60" s="48"/>
      <c r="T60" s="409"/>
      <c r="U60" s="409"/>
      <c r="V60" s="409"/>
      <c r="W60" s="409" t="s">
        <v>106</v>
      </c>
      <c r="X60" s="409">
        <f t="shared" si="24"/>
        <v>3.4089746633486288E-2</v>
      </c>
      <c r="Y60" s="409">
        <f t="shared" si="25"/>
        <v>6.6553342184203626E-2</v>
      </c>
      <c r="Z60" s="409">
        <f t="shared" si="27"/>
        <v>7.9851582818351332</v>
      </c>
      <c r="AA60" s="409">
        <f t="shared" si="28"/>
        <v>4.996070067941921</v>
      </c>
      <c r="AB60" s="409">
        <f t="shared" si="29"/>
        <v>2.9890882138932122</v>
      </c>
      <c r="AC60" s="409">
        <f t="shared" si="30"/>
        <v>3.2463595550717338E-2</v>
      </c>
      <c r="AD60" s="409">
        <f t="shared" si="26"/>
        <v>92.075081739587631</v>
      </c>
      <c r="AE60" s="409">
        <f t="shared" si="31"/>
        <v>1.8572538601818387</v>
      </c>
      <c r="AF60" s="409">
        <f t="shared" si="32"/>
        <v>92.075081739587631</v>
      </c>
      <c r="AG60" s="409">
        <f t="shared" si="33"/>
        <v>1.8572538601818387</v>
      </c>
      <c r="AH60" s="409">
        <f t="shared" si="23"/>
        <v>92.075081739587631</v>
      </c>
      <c r="AI60" s="409"/>
      <c r="AJ60" s="409"/>
      <c r="AK60" s="409"/>
      <c r="AL60" s="409"/>
      <c r="AM60" s="409"/>
      <c r="AN60" s="409"/>
      <c r="AO60" s="409"/>
      <c r="AP60" s="409"/>
      <c r="AQ60" s="409"/>
      <c r="AR60" s="48"/>
      <c r="AS60" s="48"/>
      <c r="AT60" s="48"/>
      <c r="AU60" s="48"/>
      <c r="AV60" s="48"/>
      <c r="AW60" s="48"/>
      <c r="AX60" s="48"/>
    </row>
    <row r="61" spans="1:50">
      <c r="A61" s="48"/>
      <c r="B61" s="48"/>
      <c r="C61" s="48"/>
      <c r="D61" s="48"/>
      <c r="E61" s="48"/>
      <c r="F61" s="48"/>
      <c r="G61" s="48"/>
      <c r="H61" s="48"/>
      <c r="I61" s="48"/>
      <c r="J61" s="48"/>
      <c r="K61" s="48"/>
      <c r="L61" s="48"/>
      <c r="M61" s="48"/>
      <c r="N61" s="51"/>
      <c r="O61" s="51"/>
      <c r="P61" s="48"/>
      <c r="Q61" s="48"/>
      <c r="R61" s="48"/>
      <c r="S61" s="48"/>
      <c r="T61" s="409"/>
      <c r="U61" s="409"/>
      <c r="V61" s="409"/>
      <c r="W61" s="409" t="s">
        <v>107</v>
      </c>
      <c r="X61" s="409">
        <f t="shared" si="24"/>
        <v>3.4089746633486288E-2</v>
      </c>
      <c r="Y61" s="409">
        <f t="shared" si="25"/>
        <v>3.1960326331748931E-2</v>
      </c>
      <c r="Z61" s="409">
        <f t="shared" si="27"/>
        <v>6.4996489679011251</v>
      </c>
      <c r="AA61" s="409">
        <f t="shared" si="28"/>
        <v>4.996070067941921</v>
      </c>
      <c r="AB61" s="409">
        <f t="shared" si="29"/>
        <v>1.5035788999592041</v>
      </c>
      <c r="AC61" s="409">
        <f t="shared" si="30"/>
        <v>-2.1294203017373572E-3</v>
      </c>
      <c r="AD61" s="409">
        <f t="shared" si="26"/>
        <v>-706.09775755986743</v>
      </c>
      <c r="AE61" s="409">
        <f t="shared" si="31"/>
        <v>29.066763721630629</v>
      </c>
      <c r="AF61" s="409">
        <f t="shared" si="32"/>
        <v>0</v>
      </c>
      <c r="AG61" s="409">
        <f t="shared" si="33"/>
        <v>0</v>
      </c>
      <c r="AH61" s="409" t="str">
        <f t="shared" si="23"/>
        <v/>
      </c>
      <c r="AI61" s="409"/>
      <c r="AJ61" s="409"/>
      <c r="AK61" s="409"/>
      <c r="AL61" s="409"/>
      <c r="AM61" s="409"/>
      <c r="AN61" s="409"/>
      <c r="AO61" s="409"/>
      <c r="AP61" s="409"/>
      <c r="AQ61" s="409"/>
      <c r="AR61" s="48"/>
      <c r="AS61" s="48"/>
      <c r="AT61" s="48"/>
      <c r="AU61" s="48"/>
      <c r="AV61" s="48"/>
      <c r="AW61" s="48"/>
      <c r="AX61" s="48"/>
    </row>
    <row r="62" spans="1:50">
      <c r="A62" s="48"/>
      <c r="B62" s="48"/>
      <c r="C62" s="48"/>
      <c r="D62" s="48"/>
      <c r="E62" s="48"/>
      <c r="F62" s="48"/>
      <c r="G62" s="48"/>
      <c r="H62" s="48"/>
      <c r="I62" s="48"/>
      <c r="J62" s="48"/>
      <c r="K62" s="48"/>
      <c r="L62" s="48"/>
      <c r="M62" s="48"/>
      <c r="N62" s="48"/>
      <c r="O62" s="48"/>
      <c r="P62" s="51"/>
      <c r="Q62" s="51"/>
      <c r="R62" s="48"/>
      <c r="S62" s="48"/>
      <c r="T62" s="409"/>
      <c r="U62" s="409"/>
      <c r="V62" s="409"/>
      <c r="W62" s="409" t="s">
        <v>108</v>
      </c>
      <c r="X62" s="409">
        <f t="shared" si="24"/>
        <v>3.4089746633486288E-2</v>
      </c>
      <c r="Y62" s="409">
        <f t="shared" si="25"/>
        <v>2.8267247122531796E-2</v>
      </c>
      <c r="Z62" s="409">
        <f t="shared" si="27"/>
        <v>4.6026522410510067</v>
      </c>
      <c r="AA62" s="409">
        <f t="shared" si="28"/>
        <v>4.996070067941921</v>
      </c>
      <c r="AB62" s="409">
        <f t="shared" si="29"/>
        <v>-0.39341782689091431</v>
      </c>
      <c r="AC62" s="409">
        <f t="shared" si="30"/>
        <v>-5.8224995109544923E-3</v>
      </c>
      <c r="AD62" s="409">
        <f t="shared" si="26"/>
        <v>67.568546145986815</v>
      </c>
      <c r="AE62" s="409">
        <f t="shared" si="31"/>
        <v>2.6926754494322038</v>
      </c>
      <c r="AF62" s="409">
        <f t="shared" si="32"/>
        <v>67.568546145986815</v>
      </c>
      <c r="AG62" s="409">
        <f t="shared" si="33"/>
        <v>2.6926754494322038</v>
      </c>
      <c r="AH62" s="409">
        <f t="shared" si="23"/>
        <v>67.568546145986815</v>
      </c>
      <c r="AI62" s="409"/>
      <c r="AJ62" s="409"/>
      <c r="AK62" s="409"/>
      <c r="AL62" s="409"/>
      <c r="AM62" s="409"/>
      <c r="AN62" s="409"/>
      <c r="AO62" s="409"/>
      <c r="AP62" s="409"/>
      <c r="AQ62" s="409"/>
      <c r="AR62" s="48"/>
      <c r="AS62" s="48"/>
      <c r="AT62" s="48"/>
      <c r="AU62" s="48"/>
      <c r="AV62" s="48"/>
      <c r="AW62" s="48"/>
      <c r="AX62" s="48"/>
    </row>
    <row r="63" spans="1:50">
      <c r="A63" s="48"/>
      <c r="B63" s="48"/>
      <c r="C63" s="48"/>
      <c r="D63" s="48"/>
      <c r="E63" s="48"/>
      <c r="F63" s="48"/>
      <c r="G63" s="48"/>
      <c r="H63" s="48"/>
      <c r="I63" s="48"/>
      <c r="J63" s="48"/>
      <c r="K63" s="48"/>
      <c r="L63" s="48"/>
      <c r="M63" s="48"/>
      <c r="N63" s="51"/>
      <c r="O63" s="51"/>
      <c r="P63" s="48"/>
      <c r="Q63" s="48"/>
      <c r="R63" s="48"/>
      <c r="S63" s="48"/>
      <c r="T63" s="409"/>
      <c r="U63" s="409"/>
      <c r="V63" s="409"/>
      <c r="W63" s="409" t="s">
        <v>109</v>
      </c>
      <c r="X63" s="409">
        <f t="shared" si="24"/>
        <v>3.4089746633486288E-2</v>
      </c>
      <c r="Y63" s="409">
        <f t="shared" si="25"/>
        <v>1.8708294187878879E-2</v>
      </c>
      <c r="Z63" s="409">
        <f t="shared" si="27"/>
        <v>4.279695847811797</v>
      </c>
      <c r="AA63" s="409">
        <f t="shared" si="28"/>
        <v>4.996070067941921</v>
      </c>
      <c r="AB63" s="409">
        <f t="shared" si="29"/>
        <v>-0.71637422013012397</v>
      </c>
      <c r="AC63" s="409">
        <f t="shared" si="30"/>
        <v>-1.5381452445607409E-2</v>
      </c>
      <c r="AD63" s="409">
        <f t="shared" si="26"/>
        <v>46.573899484681242</v>
      </c>
      <c r="AE63" s="409">
        <f t="shared" si="31"/>
        <v>3.4083776347756798</v>
      </c>
      <c r="AF63" s="409">
        <f t="shared" si="32"/>
        <v>46.573899484681242</v>
      </c>
      <c r="AG63" s="409">
        <f t="shared" si="33"/>
        <v>3.4083776347756798</v>
      </c>
      <c r="AH63" s="409">
        <f t="shared" si="23"/>
        <v>46.573899484681242</v>
      </c>
      <c r="AI63" s="409"/>
      <c r="AJ63" s="409"/>
      <c r="AK63" s="409"/>
      <c r="AL63" s="409"/>
      <c r="AM63" s="409"/>
      <c r="AN63" s="409"/>
      <c r="AO63" s="409"/>
      <c r="AP63" s="409"/>
      <c r="AQ63" s="409"/>
      <c r="AR63" s="48"/>
      <c r="AS63" s="48"/>
      <c r="AT63" s="48"/>
      <c r="AU63" s="48"/>
      <c r="AV63" s="48"/>
      <c r="AW63" s="48"/>
      <c r="AX63" s="48"/>
    </row>
    <row r="64" spans="1:50">
      <c r="A64" s="48"/>
      <c r="B64" s="48"/>
      <c r="C64" s="48"/>
      <c r="D64" s="48"/>
      <c r="E64" s="48"/>
      <c r="F64" s="48"/>
      <c r="G64" s="48"/>
      <c r="H64" s="48"/>
      <c r="I64" s="48"/>
      <c r="J64" s="48"/>
      <c r="K64" s="48"/>
      <c r="L64" s="48"/>
      <c r="M64" s="48"/>
      <c r="N64" s="48"/>
      <c r="O64" s="48"/>
      <c r="P64" s="51"/>
      <c r="Q64" s="51"/>
      <c r="R64" s="48"/>
      <c r="S64" s="48"/>
      <c r="T64" s="409"/>
      <c r="U64" s="409"/>
      <c r="V64" s="409"/>
      <c r="W64" s="409" t="s">
        <v>110</v>
      </c>
      <c r="X64" s="409">
        <f>IF($U$45=0,0,$U$45/$V$45)</f>
        <v>4.7034219715532261E-2</v>
      </c>
      <c r="Y64" s="409">
        <f>IF(V46=0,0,U46/V46)</f>
        <v>0.14990426029640461</v>
      </c>
      <c r="Z64" s="409">
        <f>U46</f>
        <v>10.578096981077916</v>
      </c>
      <c r="AA64" s="409">
        <f>$U$45</f>
        <v>6.8931652621597364</v>
      </c>
      <c r="AB64" s="409">
        <f t="shared" si="29"/>
        <v>3.6849317189181798</v>
      </c>
      <c r="AC64" s="409">
        <f t="shared" si="30"/>
        <v>0.10287004058087235</v>
      </c>
      <c r="AD64" s="409">
        <f>IF(AC64=0,0,AB64/AC64)</f>
        <v>35.821233258105238</v>
      </c>
      <c r="AE64" s="409">
        <f t="shared" si="31"/>
        <v>5.2083415066166836</v>
      </c>
      <c r="AF64" s="409">
        <f t="shared" si="32"/>
        <v>35.821233258105238</v>
      </c>
      <c r="AG64" s="409">
        <f t="shared" si="33"/>
        <v>5.2083415066166836</v>
      </c>
      <c r="AH64" s="409">
        <f t="shared" si="23"/>
        <v>35.821233258105238</v>
      </c>
      <c r="AI64" s="409">
        <f>MIN(AH64:AH72)</f>
        <v>26.105816476183961</v>
      </c>
      <c r="AJ64" s="409">
        <f>MAX(AG64:AG72)</f>
        <v>5.6652985541655383</v>
      </c>
      <c r="AK64" s="409">
        <f>IF(OR(AI64=0,AJ64=0),"",VLOOKUP(AI64,AF64:AG72,2,FALSE))</f>
        <v>5.6652985541655383</v>
      </c>
      <c r="AL64" s="409" t="str">
        <f>IF(AJ64=AK64,"ok","fallo")</f>
        <v>ok</v>
      </c>
      <c r="AM64" s="409">
        <f>IF($AL$64="ok",IF(AI64&lt;0.5,0.5,AI64),"")</f>
        <v>26.105816476183961</v>
      </c>
      <c r="AN64" s="409">
        <f>IF($AL$64="ok",AJ64,"")</f>
        <v>5.6652985541655383</v>
      </c>
      <c r="AO64" s="409">
        <f>IF(AM64="","",(AM64*$F$26)+(AN64*$F$25))</f>
        <v>35652.905156510227</v>
      </c>
      <c r="AP64" s="409">
        <f>AM64</f>
        <v>26.105816476183961</v>
      </c>
      <c r="AQ64" s="409">
        <f>AN64</f>
        <v>5.6652985541655383</v>
      </c>
      <c r="AR64" s="48"/>
      <c r="AS64" s="48"/>
      <c r="AT64" s="48"/>
      <c r="AU64" s="48"/>
      <c r="AV64" s="48"/>
      <c r="AW64" s="48"/>
      <c r="AX64" s="48"/>
    </row>
    <row r="65" spans="1:50">
      <c r="A65" s="48"/>
      <c r="B65" s="48"/>
      <c r="C65" s="48"/>
      <c r="D65" s="48"/>
      <c r="E65" s="48"/>
      <c r="F65" s="48"/>
      <c r="G65" s="48"/>
      <c r="H65" s="48"/>
      <c r="I65" s="48"/>
      <c r="J65" s="48"/>
      <c r="K65" s="48"/>
      <c r="L65" s="48"/>
      <c r="M65" s="48"/>
      <c r="N65" s="51"/>
      <c r="O65" s="51"/>
      <c r="P65" s="48"/>
      <c r="Q65" s="48"/>
      <c r="R65" s="48"/>
      <c r="S65" s="48"/>
      <c r="T65" s="409"/>
      <c r="U65" s="409"/>
      <c r="V65" s="409"/>
      <c r="W65" s="409" t="s">
        <v>111</v>
      </c>
      <c r="X65" s="409">
        <f t="shared" ref="X65:X72" si="34">IF($U$45=0,0,$U$45/$V$45)</f>
        <v>4.7034219715532261E-2</v>
      </c>
      <c r="Y65" s="409">
        <f t="shared" ref="Y65:Y72" si="35">IF(V47=0,0,U47/V47)</f>
        <v>0.15333544790357864</v>
      </c>
      <c r="Z65" s="409">
        <f t="shared" ref="Z65:Z72" si="36">U47</f>
        <v>16.725972253763082</v>
      </c>
      <c r="AA65" s="409">
        <f t="shared" ref="AA65:AA72" si="37">$U$45</f>
        <v>6.8931652621597364</v>
      </c>
      <c r="AB65" s="409">
        <f t="shared" ref="AB65:AB73" si="38">Z65-AA65</f>
        <v>9.8328069916033449</v>
      </c>
      <c r="AC65" s="409">
        <f t="shared" ref="AC65:AC73" si="39">Y65-X65</f>
        <v>0.10630122818804638</v>
      </c>
      <c r="AD65" s="409">
        <f t="shared" ref="AD65:AD72" si="40">IF(AC65=0,0,AB65/AC65)</f>
        <v>92.499467402287721</v>
      </c>
      <c r="AE65" s="409">
        <f t="shared" ref="AE65:AE73" si="41">-((X65)*AD65)+AA65</f>
        <v>2.5425249887908219</v>
      </c>
      <c r="AF65" s="409">
        <f t="shared" ref="AF65:AF73" si="42">IF(OR(AD65&gt;$K$28,AD65&lt;0),0,AD65)</f>
        <v>92.499467402287721</v>
      </c>
      <c r="AG65" s="409">
        <f t="shared" ref="AG65:AG73" si="43">IF(OR(AE65&gt;$K$27,AE65&lt;0),0,AE65)</f>
        <v>2.5425249887908219</v>
      </c>
      <c r="AH65" s="409">
        <f t="shared" si="23"/>
        <v>92.499467402287721</v>
      </c>
      <c r="AI65" s="409"/>
      <c r="AJ65" s="409"/>
      <c r="AK65" s="409"/>
      <c r="AL65" s="409"/>
      <c r="AM65" s="409"/>
      <c r="AN65" s="409"/>
      <c r="AO65" s="409"/>
      <c r="AP65" s="409"/>
      <c r="AQ65" s="409"/>
      <c r="AR65" s="48"/>
      <c r="AS65" s="48"/>
      <c r="AT65" s="48"/>
      <c r="AU65" s="48"/>
      <c r="AV65" s="48"/>
      <c r="AW65" s="48"/>
      <c r="AX65" s="48"/>
    </row>
    <row r="66" spans="1:50">
      <c r="A66" s="48"/>
      <c r="B66" s="48"/>
      <c r="C66" s="48"/>
      <c r="D66" s="48"/>
      <c r="E66" s="48"/>
      <c r="F66" s="48"/>
      <c r="G66" s="48"/>
      <c r="H66" s="48"/>
      <c r="I66" s="48"/>
      <c r="J66" s="48"/>
      <c r="K66" s="48"/>
      <c r="L66" s="48"/>
      <c r="M66" s="48"/>
      <c r="N66" s="48"/>
      <c r="O66" s="48"/>
      <c r="P66" s="51"/>
      <c r="Q66" s="51"/>
      <c r="R66" s="48"/>
      <c r="S66" s="48"/>
      <c r="T66" s="409"/>
      <c r="U66" s="409"/>
      <c r="V66" s="409"/>
      <c r="W66" s="409" t="s">
        <v>112</v>
      </c>
      <c r="X66" s="409">
        <f t="shared" si="34"/>
        <v>4.7034219715532261E-2</v>
      </c>
      <c r="Y66" s="409">
        <f t="shared" si="35"/>
        <v>0.2283388729207583</v>
      </c>
      <c r="Z66" s="409">
        <f t="shared" si="36"/>
        <v>20.765473705480726</v>
      </c>
      <c r="AA66" s="409">
        <f t="shared" si="37"/>
        <v>6.8931652621597364</v>
      </c>
      <c r="AB66" s="409">
        <f t="shared" si="38"/>
        <v>13.872308443320989</v>
      </c>
      <c r="AC66" s="409">
        <f t="shared" si="39"/>
        <v>0.18130465320522604</v>
      </c>
      <c r="AD66" s="409">
        <f t="shared" si="40"/>
        <v>76.513802586293053</v>
      </c>
      <c r="AE66" s="409">
        <f t="shared" si="41"/>
        <v>3.2943982600451682</v>
      </c>
      <c r="AF66" s="409">
        <f t="shared" si="42"/>
        <v>76.513802586293053</v>
      </c>
      <c r="AG66" s="409">
        <f t="shared" si="43"/>
        <v>3.2943982600451682</v>
      </c>
      <c r="AH66" s="409">
        <f t="shared" si="23"/>
        <v>76.513802586293053</v>
      </c>
      <c r="AI66" s="409"/>
      <c r="AJ66" s="409"/>
      <c r="AK66" s="409"/>
      <c r="AL66" s="409"/>
      <c r="AM66" s="409"/>
      <c r="AN66" s="409"/>
      <c r="AO66" s="409"/>
      <c r="AP66" s="409"/>
      <c r="AQ66" s="409"/>
      <c r="AR66" s="48"/>
      <c r="AS66" s="48"/>
      <c r="AT66" s="48"/>
      <c r="AU66" s="48"/>
      <c r="AV66" s="48"/>
      <c r="AW66" s="48"/>
      <c r="AX66" s="48"/>
    </row>
    <row r="67" spans="1:50">
      <c r="A67" s="48"/>
      <c r="B67" s="48"/>
      <c r="C67" s="48"/>
      <c r="D67" s="48"/>
      <c r="E67" s="48"/>
      <c r="F67" s="48"/>
      <c r="G67" s="48"/>
      <c r="H67" s="48"/>
      <c r="I67" s="48"/>
      <c r="J67" s="48"/>
      <c r="K67" s="48"/>
      <c r="L67" s="48"/>
      <c r="M67" s="48"/>
      <c r="N67" s="48"/>
      <c r="O67" s="48"/>
      <c r="P67" s="48"/>
      <c r="Q67" s="48"/>
      <c r="R67" s="48"/>
      <c r="S67" s="48"/>
      <c r="T67" s="409"/>
      <c r="U67" s="409"/>
      <c r="V67" s="409"/>
      <c r="W67" s="409" t="s">
        <v>113</v>
      </c>
      <c r="X67" s="409">
        <f t="shared" si="34"/>
        <v>4.7034219715532261E-2</v>
      </c>
      <c r="Y67" s="409">
        <f t="shared" si="35"/>
        <v>0.18446179975112231</v>
      </c>
      <c r="Z67" s="409">
        <f t="shared" si="36"/>
        <v>18.346928261919611</v>
      </c>
      <c r="AA67" s="409">
        <f t="shared" si="37"/>
        <v>6.8931652621597364</v>
      </c>
      <c r="AB67" s="409">
        <f t="shared" si="38"/>
        <v>11.453762999759874</v>
      </c>
      <c r="AC67" s="409">
        <f t="shared" si="39"/>
        <v>0.13742758003559005</v>
      </c>
      <c r="AD67" s="409">
        <f t="shared" si="40"/>
        <v>83.3439910445462</v>
      </c>
      <c r="AE67" s="409">
        <f t="shared" si="41"/>
        <v>2.9731456754011973</v>
      </c>
      <c r="AF67" s="409">
        <f t="shared" si="42"/>
        <v>83.3439910445462</v>
      </c>
      <c r="AG67" s="409">
        <f t="shared" si="43"/>
        <v>2.9731456754011973</v>
      </c>
      <c r="AH67" s="409">
        <f t="shared" si="23"/>
        <v>83.3439910445462</v>
      </c>
      <c r="AI67" s="409"/>
      <c r="AJ67" s="409"/>
      <c r="AK67" s="409"/>
      <c r="AL67" s="409"/>
      <c r="AM67" s="409"/>
      <c r="AN67" s="409"/>
      <c r="AO67" s="409"/>
      <c r="AP67" s="409"/>
      <c r="AQ67" s="409"/>
      <c r="AR67" s="48"/>
      <c r="AS67" s="48"/>
      <c r="AT67" s="48"/>
      <c r="AU67" s="48"/>
      <c r="AV67" s="48"/>
      <c r="AW67" s="48"/>
      <c r="AX67" s="48"/>
    </row>
    <row r="68" spans="1:50">
      <c r="A68" s="48"/>
      <c r="B68" s="48"/>
      <c r="C68" s="48"/>
      <c r="D68" s="48"/>
      <c r="E68" s="48"/>
      <c r="F68" s="48"/>
      <c r="G68" s="48"/>
      <c r="H68" s="48"/>
      <c r="I68" s="48"/>
      <c r="J68" s="48"/>
      <c r="K68" s="48"/>
      <c r="L68" s="48"/>
      <c r="M68" s="48"/>
      <c r="N68" s="48"/>
      <c r="O68" s="48"/>
      <c r="P68" s="48"/>
      <c r="Q68" s="48"/>
      <c r="R68" s="48"/>
      <c r="S68" s="48"/>
      <c r="T68" s="409"/>
      <c r="U68" s="409"/>
      <c r="V68" s="409"/>
      <c r="W68" s="409" t="s">
        <v>114</v>
      </c>
      <c r="X68" s="409">
        <f t="shared" si="34"/>
        <v>4.7034219715532261E-2</v>
      </c>
      <c r="Y68" s="409">
        <f t="shared" si="35"/>
        <v>9.2962143042476256E-2</v>
      </c>
      <c r="Z68" s="409">
        <f t="shared" si="36"/>
        <v>12.306685537241748</v>
      </c>
      <c r="AA68" s="409">
        <f t="shared" si="37"/>
        <v>6.8931652621597364</v>
      </c>
      <c r="AB68" s="409">
        <f t="shared" si="38"/>
        <v>5.4135202750820115</v>
      </c>
      <c r="AC68" s="409">
        <f t="shared" si="39"/>
        <v>4.5927923326943995E-2</v>
      </c>
      <c r="AD68" s="409">
        <f t="shared" si="40"/>
        <v>117.86991187354916</v>
      </c>
      <c r="AE68" s="409">
        <f t="shared" si="41"/>
        <v>1.3492459292488004</v>
      </c>
      <c r="AF68" s="409">
        <f t="shared" si="42"/>
        <v>117.86991187354916</v>
      </c>
      <c r="AG68" s="409">
        <f t="shared" si="43"/>
        <v>1.3492459292488004</v>
      </c>
      <c r="AH68" s="409">
        <f t="shared" si="23"/>
        <v>117.86991187354916</v>
      </c>
      <c r="AI68" s="409"/>
      <c r="AJ68" s="409"/>
      <c r="AK68" s="409"/>
      <c r="AL68" s="409"/>
      <c r="AM68" s="409"/>
      <c r="AN68" s="409"/>
      <c r="AO68" s="409"/>
      <c r="AP68" s="409"/>
      <c r="AQ68" s="409"/>
      <c r="AR68" s="48"/>
      <c r="AS68" s="48"/>
      <c r="AT68" s="48"/>
      <c r="AU68" s="48"/>
      <c r="AV68" s="48"/>
      <c r="AW68" s="48"/>
      <c r="AX68" s="48"/>
    </row>
    <row r="69" spans="1:50">
      <c r="A69" s="48"/>
      <c r="B69" s="48"/>
      <c r="C69" s="48"/>
      <c r="D69" s="48"/>
      <c r="E69" s="48"/>
      <c r="F69" s="48"/>
      <c r="G69" s="48"/>
      <c r="H69" s="48"/>
      <c r="I69" s="48"/>
      <c r="J69" s="48"/>
      <c r="K69" s="48"/>
      <c r="L69" s="48"/>
      <c r="M69" s="48"/>
      <c r="N69" s="48"/>
      <c r="O69" s="48"/>
      <c r="P69" s="48"/>
      <c r="Q69" s="48"/>
      <c r="R69" s="48"/>
      <c r="S69" s="48"/>
      <c r="T69" s="409"/>
      <c r="U69" s="409"/>
      <c r="V69" s="409"/>
      <c r="W69" s="409" t="s">
        <v>115</v>
      </c>
      <c r="X69" s="409">
        <f t="shared" si="34"/>
        <v>4.7034219715532261E-2</v>
      </c>
      <c r="Y69" s="409">
        <f t="shared" si="35"/>
        <v>6.6553342184203626E-2</v>
      </c>
      <c r="Z69" s="409">
        <f t="shared" si="36"/>
        <v>7.9851582818351332</v>
      </c>
      <c r="AA69" s="409">
        <f t="shared" si="37"/>
        <v>6.8931652621597364</v>
      </c>
      <c r="AB69" s="409">
        <f t="shared" si="38"/>
        <v>1.0919930196753969</v>
      </c>
      <c r="AC69" s="409">
        <f t="shared" si="39"/>
        <v>1.9519122468671365E-2</v>
      </c>
      <c r="AD69" s="409">
        <f t="shared" si="40"/>
        <v>55.944780377707573</v>
      </c>
      <c r="AE69" s="409">
        <f t="shared" si="41"/>
        <v>4.2618461699374404</v>
      </c>
      <c r="AF69" s="409">
        <f t="shared" si="42"/>
        <v>55.944780377707573</v>
      </c>
      <c r="AG69" s="409">
        <f t="shared" si="43"/>
        <v>4.2618461699374404</v>
      </c>
      <c r="AH69" s="409">
        <f t="shared" si="23"/>
        <v>55.944780377707573</v>
      </c>
      <c r="AI69" s="409"/>
      <c r="AJ69" s="409"/>
      <c r="AK69" s="409"/>
      <c r="AL69" s="409"/>
      <c r="AM69" s="409"/>
      <c r="AN69" s="409"/>
      <c r="AO69" s="409"/>
      <c r="AP69" s="409"/>
      <c r="AQ69" s="409"/>
      <c r="AR69" s="48"/>
      <c r="AS69" s="48"/>
      <c r="AT69" s="48"/>
      <c r="AU69" s="48"/>
      <c r="AV69" s="48"/>
      <c r="AW69" s="48"/>
      <c r="AX69" s="48"/>
    </row>
    <row r="70" spans="1:50">
      <c r="A70" s="48"/>
      <c r="B70" s="48"/>
      <c r="C70" s="48"/>
      <c r="D70" s="48"/>
      <c r="E70" s="48"/>
      <c r="F70" s="48"/>
      <c r="G70" s="48"/>
      <c r="H70" s="48"/>
      <c r="I70" s="48"/>
      <c r="J70" s="48"/>
      <c r="K70" s="48"/>
      <c r="L70" s="48"/>
      <c r="M70" s="48"/>
      <c r="N70" s="48"/>
      <c r="O70" s="48"/>
      <c r="P70" s="48"/>
      <c r="Q70" s="48"/>
      <c r="R70" s="48"/>
      <c r="S70" s="48"/>
      <c r="T70" s="409"/>
      <c r="U70" s="409"/>
      <c r="V70" s="409"/>
      <c r="W70" s="409" t="s">
        <v>116</v>
      </c>
      <c r="X70" s="409">
        <f t="shared" si="34"/>
        <v>4.7034219715532261E-2</v>
      </c>
      <c r="Y70" s="409">
        <f t="shared" si="35"/>
        <v>3.1960326331748931E-2</v>
      </c>
      <c r="Z70" s="409">
        <f t="shared" si="36"/>
        <v>6.4996489679011251</v>
      </c>
      <c r="AA70" s="409">
        <f t="shared" si="37"/>
        <v>6.8931652621597364</v>
      </c>
      <c r="AB70" s="409">
        <f t="shared" si="38"/>
        <v>-0.39351629425861123</v>
      </c>
      <c r="AC70" s="409">
        <f t="shared" si="39"/>
        <v>-1.5073893383783329E-2</v>
      </c>
      <c r="AD70" s="409">
        <f t="shared" si="40"/>
        <v>26.105816476183961</v>
      </c>
      <c r="AE70" s="409">
        <f t="shared" si="41"/>
        <v>5.6652985541655383</v>
      </c>
      <c r="AF70" s="409">
        <f t="shared" si="42"/>
        <v>26.105816476183961</v>
      </c>
      <c r="AG70" s="409">
        <f t="shared" si="43"/>
        <v>5.6652985541655383</v>
      </c>
      <c r="AH70" s="409">
        <f t="shared" si="23"/>
        <v>26.105816476183961</v>
      </c>
      <c r="AI70" s="409"/>
      <c r="AJ70" s="409"/>
      <c r="AK70" s="409"/>
      <c r="AL70" s="409"/>
      <c r="AM70" s="409"/>
      <c r="AN70" s="409"/>
      <c r="AO70" s="409"/>
      <c r="AP70" s="409"/>
      <c r="AQ70" s="409"/>
      <c r="AR70" s="48"/>
      <c r="AS70" s="48"/>
      <c r="AT70" s="48"/>
      <c r="AU70" s="48"/>
      <c r="AV70" s="48"/>
      <c r="AW70" s="48"/>
      <c r="AX70" s="48"/>
    </row>
    <row r="71" spans="1:50">
      <c r="A71" s="48"/>
      <c r="B71" s="48"/>
      <c r="C71" s="48"/>
      <c r="D71" s="48"/>
      <c r="E71" s="48"/>
      <c r="F71" s="48"/>
      <c r="G71" s="48"/>
      <c r="H71" s="48"/>
      <c r="I71" s="48"/>
      <c r="J71" s="48"/>
      <c r="K71" s="48"/>
      <c r="L71" s="48"/>
      <c r="M71" s="48"/>
      <c r="N71" s="48"/>
      <c r="O71" s="48"/>
      <c r="P71" s="48"/>
      <c r="Q71" s="48"/>
      <c r="R71" s="48"/>
      <c r="S71" s="48"/>
      <c r="T71" s="409"/>
      <c r="U71" s="409"/>
      <c r="V71" s="409"/>
      <c r="W71" s="409" t="s">
        <v>117</v>
      </c>
      <c r="X71" s="409">
        <f t="shared" si="34"/>
        <v>4.7034219715532261E-2</v>
      </c>
      <c r="Y71" s="409">
        <f t="shared" si="35"/>
        <v>2.8267247122531796E-2</v>
      </c>
      <c r="Z71" s="409">
        <f t="shared" si="36"/>
        <v>4.6026522410510067</v>
      </c>
      <c r="AA71" s="409">
        <f t="shared" si="37"/>
        <v>6.8931652621597364</v>
      </c>
      <c r="AB71" s="409">
        <f t="shared" si="38"/>
        <v>-2.2905130211087297</v>
      </c>
      <c r="AC71" s="409">
        <f t="shared" si="39"/>
        <v>-1.8766972593000465E-2</v>
      </c>
      <c r="AD71" s="409">
        <f t="shared" si="40"/>
        <v>122.05021400004732</v>
      </c>
      <c r="AE71" s="409">
        <f t="shared" si="41"/>
        <v>1.1526286805537795</v>
      </c>
      <c r="AF71" s="409">
        <f t="shared" si="42"/>
        <v>122.05021400004732</v>
      </c>
      <c r="AG71" s="409">
        <f t="shared" si="43"/>
        <v>1.1526286805537795</v>
      </c>
      <c r="AH71" s="409">
        <f t="shared" si="23"/>
        <v>122.05021400004732</v>
      </c>
      <c r="AI71" s="409"/>
      <c r="AJ71" s="409"/>
      <c r="AK71" s="409"/>
      <c r="AL71" s="409"/>
      <c r="AM71" s="409"/>
      <c r="AN71" s="409"/>
      <c r="AO71" s="409"/>
      <c r="AP71" s="409"/>
      <c r="AQ71" s="409"/>
      <c r="AR71" s="48"/>
      <c r="AS71" s="48"/>
      <c r="AT71" s="48"/>
      <c r="AU71" s="48"/>
      <c r="AV71" s="48"/>
      <c r="AW71" s="48"/>
      <c r="AX71" s="48"/>
    </row>
    <row r="72" spans="1:50">
      <c r="A72" s="48"/>
      <c r="B72" s="48"/>
      <c r="C72" s="48"/>
      <c r="D72" s="48"/>
      <c r="E72" s="48"/>
      <c r="F72" s="48"/>
      <c r="G72" s="48"/>
      <c r="H72" s="48"/>
      <c r="I72" s="48"/>
      <c r="J72" s="48"/>
      <c r="K72" s="48"/>
      <c r="L72" s="48"/>
      <c r="M72" s="48"/>
      <c r="N72" s="48"/>
      <c r="O72" s="48"/>
      <c r="P72" s="48"/>
      <c r="Q72" s="48"/>
      <c r="R72" s="48"/>
      <c r="S72" s="48"/>
      <c r="T72" s="409"/>
      <c r="U72" s="409"/>
      <c r="V72" s="409"/>
      <c r="W72" s="409" t="s">
        <v>118</v>
      </c>
      <c r="X72" s="409">
        <f t="shared" si="34"/>
        <v>4.7034219715532261E-2</v>
      </c>
      <c r="Y72" s="409">
        <f t="shared" si="35"/>
        <v>1.8708294187878879E-2</v>
      </c>
      <c r="Z72" s="409">
        <f t="shared" si="36"/>
        <v>4.279695847811797</v>
      </c>
      <c r="AA72" s="409">
        <f t="shared" si="37"/>
        <v>6.8931652621597364</v>
      </c>
      <c r="AB72" s="409">
        <f t="shared" si="38"/>
        <v>-2.6134694143479393</v>
      </c>
      <c r="AC72" s="409">
        <f t="shared" si="39"/>
        <v>-2.8325925527653381E-2</v>
      </c>
      <c r="AD72" s="409">
        <f t="shared" si="40"/>
        <v>92.264219638525901</v>
      </c>
      <c r="AE72" s="409">
        <f t="shared" si="41"/>
        <v>2.5535896837991823</v>
      </c>
      <c r="AF72" s="409">
        <f t="shared" si="42"/>
        <v>92.264219638525901</v>
      </c>
      <c r="AG72" s="409">
        <f t="shared" si="43"/>
        <v>2.5535896837991823</v>
      </c>
      <c r="AH72" s="409">
        <f t="shared" si="23"/>
        <v>92.264219638525901</v>
      </c>
      <c r="AI72" s="409"/>
      <c r="AJ72" s="409"/>
      <c r="AK72" s="409"/>
      <c r="AL72" s="409"/>
      <c r="AM72" s="409"/>
      <c r="AN72" s="409"/>
      <c r="AO72" s="409"/>
      <c r="AP72" s="409"/>
      <c r="AQ72" s="409"/>
      <c r="AR72" s="48"/>
      <c r="AS72" s="48"/>
      <c r="AT72" s="48"/>
      <c r="AU72" s="48"/>
      <c r="AV72" s="48"/>
      <c r="AW72" s="48"/>
      <c r="AX72" s="48"/>
    </row>
    <row r="73" spans="1:50">
      <c r="A73" s="48"/>
      <c r="B73" s="48"/>
      <c r="C73" s="48"/>
      <c r="D73" s="48"/>
      <c r="E73" s="48"/>
      <c r="F73" s="48"/>
      <c r="G73" s="48"/>
      <c r="H73" s="48"/>
      <c r="I73" s="48"/>
      <c r="J73" s="48"/>
      <c r="K73" s="48"/>
      <c r="L73" s="48"/>
      <c r="M73" s="48"/>
      <c r="N73" s="48"/>
      <c r="O73" s="48"/>
      <c r="P73" s="48"/>
      <c r="Q73" s="48"/>
      <c r="R73" s="48"/>
      <c r="S73" s="48"/>
      <c r="T73" s="409"/>
      <c r="U73" s="409"/>
      <c r="V73" s="409"/>
      <c r="W73" s="409" t="s">
        <v>119</v>
      </c>
      <c r="X73" s="409">
        <f>IF($U$46=0,0,$U$46/$V$46)</f>
        <v>0.14990426029640461</v>
      </c>
      <c r="Y73" s="409">
        <f>IF(V47=0,0,U47/V47)</f>
        <v>0.15333544790357864</v>
      </c>
      <c r="Z73" s="409">
        <f>U47</f>
        <v>16.725972253763082</v>
      </c>
      <c r="AA73" s="409">
        <f>$U$46</f>
        <v>10.578096981077916</v>
      </c>
      <c r="AB73" s="409">
        <f t="shared" si="38"/>
        <v>6.147875272685166</v>
      </c>
      <c r="AC73" s="409">
        <f t="shared" si="39"/>
        <v>3.4311876071740355E-3</v>
      </c>
      <c r="AD73" s="409">
        <f>IF(AC73=0,0,AB73/AC73)</f>
        <v>1791.7630792997136</v>
      </c>
      <c r="AE73" s="409">
        <f t="shared" si="41"/>
        <v>-258.0148220477538</v>
      </c>
      <c r="AF73" s="409">
        <f t="shared" si="42"/>
        <v>0</v>
      </c>
      <c r="AG73" s="409">
        <f t="shared" si="43"/>
        <v>0</v>
      </c>
      <c r="AH73" s="409" t="str">
        <f t="shared" si="23"/>
        <v/>
      </c>
      <c r="AI73" s="409">
        <f>MIN(AH73:AH80)</f>
        <v>31.108699915606884</v>
      </c>
      <c r="AJ73" s="409">
        <f>MAX(AG73:AG80)</f>
        <v>15.128731930478093</v>
      </c>
      <c r="AK73" s="409">
        <f>IF(OR(AI73=0,AJ73=0),"",VLOOKUP(AI73,AF73:AG80,2,FALSE))</f>
        <v>5.914770331446042</v>
      </c>
      <c r="AL73" s="409" t="str">
        <f>IF(AJ73=AK73,"ok","fallo")</f>
        <v>fallo</v>
      </c>
      <c r="AM73" s="409" t="str">
        <f>IF($AL$73="ok",IF(AI73&lt;0.5,0.5,AI73),"")</f>
        <v/>
      </c>
      <c r="AN73" s="409" t="str">
        <f>IF($AL$73="ok",AJ73,"")</f>
        <v/>
      </c>
      <c r="AO73" s="409" t="str">
        <f>IF(AM73="","",(AM73*$F$26)+(AN73*$F$25))</f>
        <v/>
      </c>
      <c r="AP73" s="409" t="str">
        <f>AM73</f>
        <v/>
      </c>
      <c r="AQ73" s="409" t="str">
        <f>AN73</f>
        <v/>
      </c>
      <c r="AR73" s="48"/>
      <c r="AS73" s="48"/>
      <c r="AT73" s="48"/>
      <c r="AU73" s="48"/>
      <c r="AV73" s="48"/>
      <c r="AW73" s="48"/>
      <c r="AX73" s="48"/>
    </row>
    <row r="74" spans="1:50">
      <c r="A74" s="48"/>
      <c r="B74" s="48"/>
      <c r="C74" s="48"/>
      <c r="D74" s="48"/>
      <c r="E74" s="48"/>
      <c r="F74" s="48"/>
      <c r="G74" s="48"/>
      <c r="H74" s="48"/>
      <c r="I74" s="48"/>
      <c r="J74" s="48"/>
      <c r="K74" s="48"/>
      <c r="L74" s="48"/>
      <c r="M74" s="48"/>
      <c r="N74" s="48"/>
      <c r="O74" s="48"/>
      <c r="P74" s="48"/>
      <c r="Q74" s="48"/>
      <c r="R74" s="48"/>
      <c r="S74" s="48"/>
      <c r="T74" s="409"/>
      <c r="U74" s="409"/>
      <c r="V74" s="409"/>
      <c r="W74" s="409" t="s">
        <v>120</v>
      </c>
      <c r="X74" s="409">
        <f t="shared" ref="X74:X80" si="44">IF($U$46=0,0,$U$46/$V$46)</f>
        <v>0.14990426029640461</v>
      </c>
      <c r="Y74" s="409">
        <f t="shared" ref="Y74:Y80" si="45">IF(V48=0,0,U48/V48)</f>
        <v>0.2283388729207583</v>
      </c>
      <c r="Z74" s="409">
        <f t="shared" ref="Z74:Z80" si="46">U48</f>
        <v>20.765473705480726</v>
      </c>
      <c r="AA74" s="409">
        <f t="shared" ref="AA74:AA80" si="47">$U$46</f>
        <v>10.578096981077916</v>
      </c>
      <c r="AB74" s="409">
        <f t="shared" ref="AB74:AB81" si="48">Z74-AA74</f>
        <v>10.18737672440281</v>
      </c>
      <c r="AC74" s="409">
        <f t="shared" ref="AC74:AC81" si="49">Y74-X74</f>
        <v>7.8434612624353695E-2</v>
      </c>
      <c r="AD74" s="409">
        <f t="shared" ref="AD74:AD80" si="50">IF(AC74=0,0,AB74/AC74)</f>
        <v>129.88368761624588</v>
      </c>
      <c r="AE74" s="409">
        <f t="shared" ref="AE74:AE81" si="51">-((X74)*AD74)+AA74</f>
        <v>-8.8920211356047112</v>
      </c>
      <c r="AF74" s="409">
        <f t="shared" ref="AF74:AF81" si="52">IF(OR(AD74&gt;$K$28,AD74&lt;0),0,AD74)</f>
        <v>129.88368761624588</v>
      </c>
      <c r="AG74" s="409">
        <f t="shared" ref="AG74:AG81" si="53">IF(OR(AE74&gt;$K$27,AE74&lt;0),0,AE74)</f>
        <v>0</v>
      </c>
      <c r="AH74" s="409">
        <f t="shared" ref="AH74:AH81" si="54">IF(AF74&gt;0,AF74,"")</f>
        <v>129.88368761624588</v>
      </c>
      <c r="AI74" s="409"/>
      <c r="AJ74" s="409"/>
      <c r="AK74" s="409"/>
      <c r="AL74" s="409"/>
      <c r="AM74" s="409"/>
      <c r="AN74" s="409"/>
      <c r="AO74" s="409"/>
      <c r="AP74" s="409"/>
      <c r="AQ74" s="409"/>
      <c r="AR74" s="48"/>
      <c r="AS74" s="48"/>
      <c r="AT74" s="48"/>
      <c r="AU74" s="48"/>
      <c r="AV74" s="48"/>
      <c r="AW74" s="48"/>
      <c r="AX74" s="48"/>
    </row>
    <row r="75" spans="1:50">
      <c r="A75" s="48"/>
      <c r="B75" s="48"/>
      <c r="C75" s="48"/>
      <c r="D75" s="48"/>
      <c r="E75" s="48"/>
      <c r="F75" s="48"/>
      <c r="G75" s="48"/>
      <c r="H75" s="48"/>
      <c r="I75" s="48"/>
      <c r="J75" s="48"/>
      <c r="K75" s="48"/>
      <c r="L75" s="48"/>
      <c r="M75" s="48"/>
      <c r="N75" s="48"/>
      <c r="O75" s="48"/>
      <c r="P75" s="48"/>
      <c r="Q75" s="48"/>
      <c r="R75" s="48"/>
      <c r="S75" s="48"/>
      <c r="T75" s="409"/>
      <c r="U75" s="409"/>
      <c r="V75" s="409"/>
      <c r="W75" s="409" t="s">
        <v>121</v>
      </c>
      <c r="X75" s="409">
        <f t="shared" si="44"/>
        <v>0.14990426029640461</v>
      </c>
      <c r="Y75" s="409">
        <f t="shared" si="45"/>
        <v>0.18446179975112231</v>
      </c>
      <c r="Z75" s="409">
        <f t="shared" si="46"/>
        <v>18.346928261919611</v>
      </c>
      <c r="AA75" s="409">
        <f t="shared" si="47"/>
        <v>10.578096981077916</v>
      </c>
      <c r="AB75" s="409">
        <f t="shared" si="48"/>
        <v>7.7688312808416953</v>
      </c>
      <c r="AC75" s="409">
        <f t="shared" si="49"/>
        <v>3.4557539454717706E-2</v>
      </c>
      <c r="AD75" s="409">
        <f t="shared" si="50"/>
        <v>224.80857733003657</v>
      </c>
      <c r="AE75" s="409">
        <f t="shared" si="51"/>
        <v>-23.121666511868288</v>
      </c>
      <c r="AF75" s="409">
        <f t="shared" si="52"/>
        <v>224.80857733003657</v>
      </c>
      <c r="AG75" s="409">
        <f t="shared" si="53"/>
        <v>0</v>
      </c>
      <c r="AH75" s="409">
        <f t="shared" si="54"/>
        <v>224.80857733003657</v>
      </c>
      <c r="AI75" s="409"/>
      <c r="AJ75" s="409"/>
      <c r="AK75" s="409"/>
      <c r="AL75" s="409"/>
      <c r="AM75" s="409"/>
      <c r="AN75" s="409"/>
      <c r="AO75" s="409"/>
      <c r="AP75" s="409"/>
      <c r="AQ75" s="409"/>
      <c r="AR75" s="48"/>
      <c r="AS75" s="48"/>
      <c r="AT75" s="48"/>
      <c r="AU75" s="48"/>
      <c r="AV75" s="48"/>
      <c r="AW75" s="48"/>
      <c r="AX75" s="48"/>
    </row>
    <row r="76" spans="1:50">
      <c r="A76" s="48"/>
      <c r="B76" s="48"/>
      <c r="C76" s="48"/>
      <c r="D76" s="48"/>
      <c r="E76" s="48"/>
      <c r="F76" s="48"/>
      <c r="G76" s="48"/>
      <c r="H76" s="48"/>
      <c r="I76" s="48"/>
      <c r="J76" s="48"/>
      <c r="K76" s="48"/>
      <c r="L76" s="48"/>
      <c r="M76" s="48"/>
      <c r="N76" s="48"/>
      <c r="O76" s="48"/>
      <c r="P76" s="48"/>
      <c r="Q76" s="48"/>
      <c r="R76" s="48"/>
      <c r="S76" s="48"/>
      <c r="T76" s="409"/>
      <c r="U76" s="409"/>
      <c r="V76" s="409"/>
      <c r="W76" s="409" t="s">
        <v>122</v>
      </c>
      <c r="X76" s="409">
        <f t="shared" si="44"/>
        <v>0.14990426029640461</v>
      </c>
      <c r="Y76" s="409">
        <f t="shared" si="45"/>
        <v>9.2962143042476256E-2</v>
      </c>
      <c r="Z76" s="409">
        <f t="shared" si="46"/>
        <v>12.306685537241748</v>
      </c>
      <c r="AA76" s="409">
        <f t="shared" si="47"/>
        <v>10.578096981077916</v>
      </c>
      <c r="AB76" s="409">
        <f t="shared" si="48"/>
        <v>1.7285885561638317</v>
      </c>
      <c r="AC76" s="409">
        <f t="shared" si="49"/>
        <v>-5.6942117253928351E-2</v>
      </c>
      <c r="AD76" s="409">
        <f t="shared" si="50"/>
        <v>-30.356942093588536</v>
      </c>
      <c r="AE76" s="409">
        <f t="shared" si="51"/>
        <v>15.128731930478093</v>
      </c>
      <c r="AF76" s="409">
        <f t="shared" si="52"/>
        <v>0</v>
      </c>
      <c r="AG76" s="409">
        <f t="shared" si="53"/>
        <v>15.128731930478093</v>
      </c>
      <c r="AH76" s="409" t="str">
        <f t="shared" si="54"/>
        <v/>
      </c>
      <c r="AI76" s="409"/>
      <c r="AJ76" s="409"/>
      <c r="AK76" s="409"/>
      <c r="AL76" s="409"/>
      <c r="AM76" s="409"/>
      <c r="AN76" s="409"/>
      <c r="AO76" s="409"/>
      <c r="AP76" s="409"/>
      <c r="AQ76" s="409"/>
      <c r="AR76" s="48"/>
      <c r="AS76" s="48"/>
      <c r="AT76" s="48"/>
      <c r="AU76" s="48"/>
      <c r="AV76" s="48"/>
      <c r="AW76" s="48"/>
      <c r="AX76" s="48"/>
    </row>
    <row r="77" spans="1:50">
      <c r="A77" s="48"/>
      <c r="B77" s="48"/>
      <c r="C77" s="48"/>
      <c r="D77" s="48"/>
      <c r="E77" s="48"/>
      <c r="F77" s="48"/>
      <c r="G77" s="48"/>
      <c r="H77" s="48"/>
      <c r="I77" s="48"/>
      <c r="J77" s="48"/>
      <c r="K77" s="48"/>
      <c r="L77" s="48"/>
      <c r="M77" s="48"/>
      <c r="N77" s="48"/>
      <c r="O77" s="48"/>
      <c r="P77" s="48"/>
      <c r="Q77" s="48"/>
      <c r="R77" s="48"/>
      <c r="S77" s="48"/>
      <c r="T77" s="409"/>
      <c r="U77" s="409"/>
      <c r="V77" s="409"/>
      <c r="W77" s="409" t="s">
        <v>123</v>
      </c>
      <c r="X77" s="409">
        <f t="shared" si="44"/>
        <v>0.14990426029640461</v>
      </c>
      <c r="Y77" s="409">
        <f t="shared" si="45"/>
        <v>6.6553342184203626E-2</v>
      </c>
      <c r="Z77" s="409">
        <f t="shared" si="46"/>
        <v>7.9851582818351332</v>
      </c>
      <c r="AA77" s="409">
        <f t="shared" si="47"/>
        <v>10.578096981077916</v>
      </c>
      <c r="AB77" s="409">
        <f t="shared" si="48"/>
        <v>-2.592938699242783</v>
      </c>
      <c r="AC77" s="409">
        <f t="shared" si="49"/>
        <v>-8.3350918112200981E-2</v>
      </c>
      <c r="AD77" s="409">
        <f t="shared" si="50"/>
        <v>31.108699915606884</v>
      </c>
      <c r="AE77" s="409">
        <f t="shared" si="51"/>
        <v>5.914770331446042</v>
      </c>
      <c r="AF77" s="409">
        <f t="shared" si="52"/>
        <v>31.108699915606884</v>
      </c>
      <c r="AG77" s="409">
        <f t="shared" si="53"/>
        <v>5.914770331446042</v>
      </c>
      <c r="AH77" s="409">
        <f t="shared" si="54"/>
        <v>31.108699915606884</v>
      </c>
      <c r="AI77" s="409"/>
      <c r="AJ77" s="409"/>
      <c r="AK77" s="409"/>
      <c r="AL77" s="409"/>
      <c r="AM77" s="409"/>
      <c r="AN77" s="409"/>
      <c r="AO77" s="409"/>
      <c r="AP77" s="409"/>
      <c r="AQ77" s="409"/>
      <c r="AR77" s="48"/>
      <c r="AS77" s="48"/>
      <c r="AT77" s="48"/>
      <c r="AU77" s="48"/>
      <c r="AV77" s="48"/>
      <c r="AW77" s="48"/>
      <c r="AX77" s="48"/>
    </row>
    <row r="78" spans="1:50">
      <c r="A78" s="48"/>
      <c r="B78" s="48"/>
      <c r="C78" s="48"/>
      <c r="D78" s="48"/>
      <c r="E78" s="48"/>
      <c r="F78" s="48"/>
      <c r="G78" s="48"/>
      <c r="H78" s="48"/>
      <c r="I78" s="48"/>
      <c r="J78" s="48"/>
      <c r="K78" s="48"/>
      <c r="L78" s="48"/>
      <c r="M78" s="48"/>
      <c r="N78" s="48"/>
      <c r="O78" s="48"/>
      <c r="P78" s="48"/>
      <c r="Q78" s="48"/>
      <c r="R78" s="48"/>
      <c r="S78" s="48"/>
      <c r="T78" s="409"/>
      <c r="U78" s="409"/>
      <c r="V78" s="409"/>
      <c r="W78" s="409" t="s">
        <v>124</v>
      </c>
      <c r="X78" s="409">
        <f t="shared" si="44"/>
        <v>0.14990426029640461</v>
      </c>
      <c r="Y78" s="409">
        <f t="shared" si="45"/>
        <v>3.1960326331748931E-2</v>
      </c>
      <c r="Z78" s="409">
        <f t="shared" si="46"/>
        <v>6.4996489679011251</v>
      </c>
      <c r="AA78" s="409">
        <f t="shared" si="47"/>
        <v>10.578096981077916</v>
      </c>
      <c r="AB78" s="409">
        <f t="shared" si="48"/>
        <v>-4.0784480131767911</v>
      </c>
      <c r="AC78" s="409">
        <f t="shared" si="49"/>
        <v>-0.11794393396465568</v>
      </c>
      <c r="AD78" s="409">
        <f t="shared" si="50"/>
        <v>34.579548740497174</v>
      </c>
      <c r="AE78" s="409">
        <f t="shared" si="51"/>
        <v>5.3944753057502179</v>
      </c>
      <c r="AF78" s="409">
        <f t="shared" si="52"/>
        <v>34.579548740497174</v>
      </c>
      <c r="AG78" s="409">
        <f t="shared" si="53"/>
        <v>5.3944753057502179</v>
      </c>
      <c r="AH78" s="409">
        <f t="shared" si="54"/>
        <v>34.579548740497174</v>
      </c>
      <c r="AI78" s="409"/>
      <c r="AJ78" s="409"/>
      <c r="AK78" s="409"/>
      <c r="AL78" s="409"/>
      <c r="AM78" s="409"/>
      <c r="AN78" s="409"/>
      <c r="AO78" s="409"/>
      <c r="AP78" s="409"/>
      <c r="AQ78" s="409"/>
      <c r="AR78" s="48"/>
      <c r="AS78" s="48"/>
      <c r="AT78" s="48"/>
      <c r="AU78" s="48"/>
      <c r="AV78" s="48"/>
      <c r="AW78" s="48"/>
      <c r="AX78" s="48"/>
    </row>
    <row r="79" spans="1:50">
      <c r="A79" s="48"/>
      <c r="B79" s="48"/>
      <c r="C79" s="48"/>
      <c r="D79" s="48"/>
      <c r="E79" s="48"/>
      <c r="F79" s="48"/>
      <c r="G79" s="48"/>
      <c r="H79" s="48"/>
      <c r="I79" s="48"/>
      <c r="J79" s="48"/>
      <c r="K79" s="48"/>
      <c r="L79" s="48"/>
      <c r="M79" s="48"/>
      <c r="N79" s="48"/>
      <c r="O79" s="48"/>
      <c r="P79" s="48"/>
      <c r="Q79" s="48"/>
      <c r="R79" s="48"/>
      <c r="S79" s="48"/>
      <c r="T79" s="409"/>
      <c r="U79" s="409"/>
      <c r="V79" s="409"/>
      <c r="W79" s="409" t="s">
        <v>125</v>
      </c>
      <c r="X79" s="409">
        <f t="shared" si="44"/>
        <v>0.14990426029640461</v>
      </c>
      <c r="Y79" s="409">
        <f t="shared" si="45"/>
        <v>2.8267247122531796E-2</v>
      </c>
      <c r="Z79" s="409">
        <f t="shared" si="46"/>
        <v>4.6026522410510067</v>
      </c>
      <c r="AA79" s="409">
        <f t="shared" si="47"/>
        <v>10.578096981077916</v>
      </c>
      <c r="AB79" s="409">
        <f t="shared" si="48"/>
        <v>-5.9754447400269095</v>
      </c>
      <c r="AC79" s="409">
        <f t="shared" si="49"/>
        <v>-0.12163701317387281</v>
      </c>
      <c r="AD79" s="409">
        <f t="shared" si="50"/>
        <v>49.125217597092508</v>
      </c>
      <c r="AE79" s="409">
        <f t="shared" si="51"/>
        <v>3.2140175752858449</v>
      </c>
      <c r="AF79" s="409">
        <f t="shared" si="52"/>
        <v>49.125217597092508</v>
      </c>
      <c r="AG79" s="409">
        <f t="shared" si="53"/>
        <v>3.2140175752858449</v>
      </c>
      <c r="AH79" s="409">
        <f t="shared" si="54"/>
        <v>49.125217597092508</v>
      </c>
      <c r="AI79" s="409"/>
      <c r="AJ79" s="409"/>
      <c r="AK79" s="409"/>
      <c r="AL79" s="409"/>
      <c r="AM79" s="409"/>
      <c r="AN79" s="409"/>
      <c r="AO79" s="409"/>
      <c r="AP79" s="409"/>
      <c r="AQ79" s="409"/>
      <c r="AR79" s="48"/>
      <c r="AS79" s="48"/>
      <c r="AT79" s="48"/>
      <c r="AU79" s="48"/>
      <c r="AV79" s="48"/>
      <c r="AW79" s="48"/>
      <c r="AX79" s="48"/>
    </row>
    <row r="80" spans="1:50">
      <c r="A80" s="48"/>
      <c r="B80" s="48"/>
      <c r="C80" s="48"/>
      <c r="D80" s="48"/>
      <c r="E80" s="48"/>
      <c r="F80" s="48"/>
      <c r="G80" s="48"/>
      <c r="H80" s="48"/>
      <c r="I80" s="48"/>
      <c r="J80" s="48"/>
      <c r="K80" s="48"/>
      <c r="L80" s="48"/>
      <c r="M80" s="48"/>
      <c r="N80" s="48"/>
      <c r="O80" s="48"/>
      <c r="P80" s="48"/>
      <c r="Q80" s="48"/>
      <c r="R80" s="48"/>
      <c r="S80" s="48"/>
      <c r="T80" s="409"/>
      <c r="U80" s="409"/>
      <c r="V80" s="409"/>
      <c r="W80" s="409" t="s">
        <v>126</v>
      </c>
      <c r="X80" s="409">
        <f t="shared" si="44"/>
        <v>0.14990426029640461</v>
      </c>
      <c r="Y80" s="409">
        <f t="shared" si="45"/>
        <v>1.8708294187878879E-2</v>
      </c>
      <c r="Z80" s="409">
        <f t="shared" si="46"/>
        <v>4.279695847811797</v>
      </c>
      <c r="AA80" s="409">
        <f t="shared" si="47"/>
        <v>10.578096981077916</v>
      </c>
      <c r="AB80" s="409">
        <f t="shared" si="48"/>
        <v>-6.2984011332661192</v>
      </c>
      <c r="AC80" s="409">
        <f t="shared" si="49"/>
        <v>-0.13119596610852574</v>
      </c>
      <c r="AD80" s="409">
        <f t="shared" si="50"/>
        <v>48.007582245753355</v>
      </c>
      <c r="AE80" s="409">
        <f t="shared" si="51"/>
        <v>3.3815558759094531</v>
      </c>
      <c r="AF80" s="409">
        <f t="shared" si="52"/>
        <v>48.007582245753355</v>
      </c>
      <c r="AG80" s="409">
        <f t="shared" si="53"/>
        <v>3.3815558759094531</v>
      </c>
      <c r="AH80" s="409">
        <f t="shared" si="54"/>
        <v>48.007582245753355</v>
      </c>
      <c r="AI80" s="409"/>
      <c r="AJ80" s="409"/>
      <c r="AK80" s="409"/>
      <c r="AL80" s="409"/>
      <c r="AM80" s="409"/>
      <c r="AN80" s="409"/>
      <c r="AO80" s="409"/>
      <c r="AP80" s="409"/>
      <c r="AQ80" s="409"/>
      <c r="AR80" s="48"/>
      <c r="AS80" s="48"/>
      <c r="AT80" s="48"/>
      <c r="AU80" s="48"/>
      <c r="AV80" s="48"/>
      <c r="AW80" s="48"/>
      <c r="AX80" s="48"/>
    </row>
    <row r="81" spans="1:50">
      <c r="A81" s="48"/>
      <c r="B81" s="48"/>
      <c r="C81" s="48"/>
      <c r="D81" s="48"/>
      <c r="E81" s="48"/>
      <c r="F81" s="48"/>
      <c r="G81" s="48"/>
      <c r="H81" s="48"/>
      <c r="I81" s="48"/>
      <c r="J81" s="48"/>
      <c r="K81" s="48"/>
      <c r="L81" s="48"/>
      <c r="M81" s="48"/>
      <c r="N81" s="48"/>
      <c r="O81" s="48"/>
      <c r="P81" s="48"/>
      <c r="Q81" s="48"/>
      <c r="R81" s="48"/>
      <c r="S81" s="48"/>
      <c r="T81" s="409"/>
      <c r="U81" s="409"/>
      <c r="V81" s="409"/>
      <c r="W81" s="409" t="s">
        <v>127</v>
      </c>
      <c r="X81" s="409">
        <f>IF($U$47=0,0,$U$47/$V$47)</f>
        <v>0.15333544790357864</v>
      </c>
      <c r="Y81" s="409">
        <f>IF(V48=0,0,U48/V48)</f>
        <v>0.2283388729207583</v>
      </c>
      <c r="Z81" s="409">
        <f>U48</f>
        <v>20.765473705480726</v>
      </c>
      <c r="AA81" s="409">
        <f>$U$47</f>
        <v>16.725972253763082</v>
      </c>
      <c r="AB81" s="409">
        <f t="shared" si="48"/>
        <v>4.0395014517176442</v>
      </c>
      <c r="AC81" s="409">
        <f t="shared" si="49"/>
        <v>7.5003425017179659E-2</v>
      </c>
      <c r="AD81" s="409">
        <f>IF(AC81=0,0,AB81/AC81)</f>
        <v>53.857559848665439</v>
      </c>
      <c r="AE81" s="409">
        <f t="shared" si="51"/>
        <v>8.4676991913741748</v>
      </c>
      <c r="AF81" s="409">
        <f t="shared" si="52"/>
        <v>53.857559848665439</v>
      </c>
      <c r="AG81" s="409">
        <f t="shared" si="53"/>
        <v>8.4676991913741748</v>
      </c>
      <c r="AH81" s="409">
        <f t="shared" si="54"/>
        <v>53.857559848665439</v>
      </c>
      <c r="AI81" s="409">
        <f>MIN(AH81:AH87)</f>
        <v>52.076646055276363</v>
      </c>
      <c r="AJ81" s="409">
        <f>MAX(AG81:AG87)</f>
        <v>8.7407764055611494</v>
      </c>
      <c r="AK81" s="409">
        <f>IF(OR(AI81=0,AJ81=0),"",VLOOKUP(AI81,AF81:AG87,2,FALSE))</f>
        <v>8.7407764055611494</v>
      </c>
      <c r="AL81" s="409" t="str">
        <f>IF(AJ81=AK81,"ok","fallo")</f>
        <v>ok</v>
      </c>
      <c r="AM81" s="409">
        <f>IF($AL$81="ok",IF(AI81&lt;0.5,0.5,AI81),"")</f>
        <v>52.076646055276363</v>
      </c>
      <c r="AN81" s="409">
        <f>IF($AL$81="ok",AJ81,"")</f>
        <v>8.7407764055611494</v>
      </c>
      <c r="AO81" s="409">
        <f>IF(AM81="","",(AM81*$F$26)+(AN81*$F$25))</f>
        <v>59727.113426857657</v>
      </c>
      <c r="AP81" s="409">
        <f>AM81</f>
        <v>52.076646055276363</v>
      </c>
      <c r="AQ81" s="409">
        <f>AN81</f>
        <v>8.7407764055611494</v>
      </c>
      <c r="AR81" s="48"/>
      <c r="AS81" s="48"/>
      <c r="AT81" s="48"/>
      <c r="AU81" s="48"/>
      <c r="AV81" s="48"/>
      <c r="AW81" s="48"/>
      <c r="AX81" s="48"/>
    </row>
    <row r="82" spans="1:50">
      <c r="A82" s="48"/>
      <c r="B82" s="48"/>
      <c r="C82" s="48"/>
      <c r="D82" s="48"/>
      <c r="E82" s="48"/>
      <c r="F82" s="48"/>
      <c r="G82" s="48"/>
      <c r="H82" s="48"/>
      <c r="I82" s="48"/>
      <c r="J82" s="48"/>
      <c r="K82" s="48"/>
      <c r="L82" s="48"/>
      <c r="M82" s="48"/>
      <c r="N82" s="48"/>
      <c r="O82" s="48"/>
      <c r="P82" s="48"/>
      <c r="Q82" s="48"/>
      <c r="R82" s="48"/>
      <c r="S82" s="48"/>
      <c r="T82" s="409"/>
      <c r="U82" s="409"/>
      <c r="V82" s="409"/>
      <c r="W82" s="409" t="s">
        <v>128</v>
      </c>
      <c r="X82" s="409">
        <f t="shared" ref="X82:X87" si="55">IF($U$47=0,0,$U$47/$V$47)</f>
        <v>0.15333544790357864</v>
      </c>
      <c r="Y82" s="409">
        <f t="shared" ref="Y82:Y87" si="56">IF(V49=0,0,U49/V49)</f>
        <v>0.18446179975112231</v>
      </c>
      <c r="Z82" s="409">
        <f t="shared" ref="Z82:Z87" si="57">U49</f>
        <v>18.346928261919611</v>
      </c>
      <c r="AA82" s="409">
        <f t="shared" ref="AA82:AA87" si="58">$U$47</f>
        <v>16.725972253763082</v>
      </c>
      <c r="AB82" s="409">
        <f t="shared" ref="AB82:AB88" si="59">Z82-AA82</f>
        <v>1.6209560081565293</v>
      </c>
      <c r="AC82" s="409">
        <f t="shared" ref="AC82:AC88" si="60">Y82-X82</f>
        <v>3.1126351847543671E-2</v>
      </c>
      <c r="AD82" s="409">
        <f t="shared" ref="AD82:AD87" si="61">IF(AC82=0,0,AB82/AC82)</f>
        <v>52.076646055276363</v>
      </c>
      <c r="AE82" s="409">
        <f t="shared" ref="AE82:AE88" si="62">-((X82)*AD82)+AA82</f>
        <v>8.7407764055611494</v>
      </c>
      <c r="AF82" s="409">
        <f t="shared" ref="AF82:AF88" si="63">IF(OR(AD82&gt;$K$28,AD82&lt;0),0,AD82)</f>
        <v>52.076646055276363</v>
      </c>
      <c r="AG82" s="409">
        <f t="shared" ref="AG82:AG88" si="64">IF(OR(AE82&gt;$K$27,AE82&lt;0),0,AE82)</f>
        <v>8.7407764055611494</v>
      </c>
      <c r="AH82" s="409">
        <f t="shared" ref="AH82:AH88" si="65">IF(AF82&gt;0,AF82,"")</f>
        <v>52.076646055276363</v>
      </c>
      <c r="AI82" s="409"/>
      <c r="AJ82" s="409"/>
      <c r="AK82" s="409"/>
      <c r="AL82" s="409"/>
      <c r="AM82" s="409"/>
      <c r="AN82" s="409"/>
      <c r="AO82" s="409"/>
      <c r="AP82" s="409"/>
      <c r="AQ82" s="409"/>
      <c r="AR82" s="48"/>
      <c r="AS82" s="48"/>
      <c r="AT82" s="48"/>
      <c r="AU82" s="48"/>
      <c r="AV82" s="48"/>
      <c r="AW82" s="48"/>
      <c r="AX82" s="48"/>
    </row>
    <row r="83" spans="1:50">
      <c r="A83" s="48"/>
      <c r="B83" s="48"/>
      <c r="C83" s="48"/>
      <c r="D83" s="48"/>
      <c r="E83" s="48"/>
      <c r="F83" s="48"/>
      <c r="G83" s="48"/>
      <c r="H83" s="48"/>
      <c r="I83" s="48"/>
      <c r="J83" s="48"/>
      <c r="K83" s="48"/>
      <c r="L83" s="48"/>
      <c r="M83" s="48"/>
      <c r="N83" s="48"/>
      <c r="O83" s="48"/>
      <c r="P83" s="48"/>
      <c r="Q83" s="48"/>
      <c r="R83" s="48"/>
      <c r="S83" s="48"/>
      <c r="T83" s="409"/>
      <c r="U83" s="409"/>
      <c r="V83" s="409"/>
      <c r="W83" s="409" t="s">
        <v>129</v>
      </c>
      <c r="X83" s="409">
        <f t="shared" si="55"/>
        <v>0.15333544790357864</v>
      </c>
      <c r="Y83" s="409">
        <f t="shared" si="56"/>
        <v>9.2962143042476256E-2</v>
      </c>
      <c r="Z83" s="409">
        <f t="shared" si="57"/>
        <v>12.306685537241748</v>
      </c>
      <c r="AA83" s="409">
        <f t="shared" si="58"/>
        <v>16.725972253763082</v>
      </c>
      <c r="AB83" s="409">
        <f t="shared" si="59"/>
        <v>-4.4192867165213343</v>
      </c>
      <c r="AC83" s="409">
        <f t="shared" si="60"/>
        <v>-6.0373304861102386E-2</v>
      </c>
      <c r="AD83" s="409">
        <f t="shared" si="61"/>
        <v>73.199350717813928</v>
      </c>
      <c r="AE83" s="409">
        <f t="shared" si="62"/>
        <v>5.5019170251959419</v>
      </c>
      <c r="AF83" s="409">
        <f t="shared" si="63"/>
        <v>73.199350717813928</v>
      </c>
      <c r="AG83" s="409">
        <f t="shared" si="64"/>
        <v>5.5019170251959419</v>
      </c>
      <c r="AH83" s="409">
        <f t="shared" si="65"/>
        <v>73.199350717813928</v>
      </c>
      <c r="AI83" s="409"/>
      <c r="AJ83" s="409"/>
      <c r="AK83" s="409"/>
      <c r="AL83" s="409"/>
      <c r="AM83" s="409"/>
      <c r="AN83" s="409"/>
      <c r="AO83" s="409"/>
      <c r="AP83" s="409"/>
      <c r="AQ83" s="409"/>
      <c r="AR83" s="48"/>
      <c r="AS83" s="48"/>
      <c r="AT83" s="48"/>
      <c r="AU83" s="48"/>
      <c r="AV83" s="48"/>
      <c r="AW83" s="48"/>
      <c r="AX83" s="48"/>
    </row>
    <row r="84" spans="1:50">
      <c r="A84" s="48"/>
      <c r="B84" s="48"/>
      <c r="C84" s="48"/>
      <c r="D84" s="48"/>
      <c r="E84" s="48"/>
      <c r="F84" s="48"/>
      <c r="G84" s="48"/>
      <c r="H84" s="48"/>
      <c r="I84" s="48"/>
      <c r="J84" s="48"/>
      <c r="K84" s="48"/>
      <c r="L84" s="48"/>
      <c r="M84" s="48"/>
      <c r="N84" s="48"/>
      <c r="O84" s="48"/>
      <c r="P84" s="48"/>
      <c r="Q84" s="48"/>
      <c r="R84" s="48"/>
      <c r="S84" s="48"/>
      <c r="T84" s="409"/>
      <c r="U84" s="409"/>
      <c r="V84" s="409"/>
      <c r="W84" s="409" t="s">
        <v>130</v>
      </c>
      <c r="X84" s="409">
        <f t="shared" si="55"/>
        <v>0.15333544790357864</v>
      </c>
      <c r="Y84" s="409">
        <f t="shared" si="56"/>
        <v>6.6553342184203626E-2</v>
      </c>
      <c r="Z84" s="409">
        <f t="shared" si="57"/>
        <v>7.9851582818351332</v>
      </c>
      <c r="AA84" s="409">
        <f t="shared" si="58"/>
        <v>16.725972253763082</v>
      </c>
      <c r="AB84" s="409">
        <f t="shared" si="59"/>
        <v>-8.740813971927949</v>
      </c>
      <c r="AC84" s="409">
        <f t="shared" si="60"/>
        <v>-8.6782105719375016E-2</v>
      </c>
      <c r="AD84" s="409">
        <f t="shared" si="61"/>
        <v>100.7213860446402</v>
      </c>
      <c r="AE84" s="409">
        <f t="shared" si="62"/>
        <v>1.2818134111389217</v>
      </c>
      <c r="AF84" s="409">
        <f t="shared" si="63"/>
        <v>100.7213860446402</v>
      </c>
      <c r="AG84" s="409">
        <f t="shared" si="64"/>
        <v>1.2818134111389217</v>
      </c>
      <c r="AH84" s="409">
        <f t="shared" si="65"/>
        <v>100.7213860446402</v>
      </c>
      <c r="AI84" s="409"/>
      <c r="AJ84" s="409"/>
      <c r="AK84" s="409"/>
      <c r="AL84" s="409"/>
      <c r="AM84" s="409"/>
      <c r="AN84" s="409"/>
      <c r="AO84" s="409"/>
      <c r="AP84" s="409"/>
      <c r="AQ84" s="409"/>
      <c r="AR84" s="48"/>
      <c r="AS84" s="48"/>
      <c r="AT84" s="48"/>
      <c r="AU84" s="48"/>
      <c r="AV84" s="48"/>
      <c r="AW84" s="48"/>
      <c r="AX84" s="48"/>
    </row>
    <row r="85" spans="1:50">
      <c r="A85" s="48"/>
      <c r="B85" s="48"/>
      <c r="C85" s="48"/>
      <c r="D85" s="48"/>
      <c r="E85" s="48"/>
      <c r="F85" s="48"/>
      <c r="G85" s="48"/>
      <c r="H85" s="48"/>
      <c r="I85" s="48"/>
      <c r="J85" s="48"/>
      <c r="K85" s="48"/>
      <c r="L85" s="48"/>
      <c r="M85" s="48"/>
      <c r="N85" s="48"/>
      <c r="O85" s="48"/>
      <c r="P85" s="48"/>
      <c r="Q85" s="48"/>
      <c r="R85" s="48"/>
      <c r="S85" s="48"/>
      <c r="T85" s="409"/>
      <c r="U85" s="409"/>
      <c r="V85" s="409"/>
      <c r="W85" s="409" t="s">
        <v>131</v>
      </c>
      <c r="X85" s="409">
        <f t="shared" si="55"/>
        <v>0.15333544790357864</v>
      </c>
      <c r="Y85" s="409">
        <f t="shared" si="56"/>
        <v>3.1960326331748931E-2</v>
      </c>
      <c r="Z85" s="409">
        <f t="shared" si="57"/>
        <v>6.4996489679011251</v>
      </c>
      <c r="AA85" s="409">
        <f t="shared" si="58"/>
        <v>16.725972253763082</v>
      </c>
      <c r="AB85" s="409">
        <f t="shared" si="59"/>
        <v>-10.226323285861957</v>
      </c>
      <c r="AC85" s="409">
        <f t="shared" si="60"/>
        <v>-0.12137512157182971</v>
      </c>
      <c r="AD85" s="409">
        <f t="shared" si="61"/>
        <v>84.253866471392385</v>
      </c>
      <c r="AE85" s="409">
        <f t="shared" si="62"/>
        <v>3.8068679007638231</v>
      </c>
      <c r="AF85" s="409">
        <f t="shared" si="63"/>
        <v>84.253866471392385</v>
      </c>
      <c r="AG85" s="409">
        <f t="shared" si="64"/>
        <v>3.8068679007638231</v>
      </c>
      <c r="AH85" s="409">
        <f t="shared" si="65"/>
        <v>84.253866471392385</v>
      </c>
      <c r="AI85" s="409"/>
      <c r="AJ85" s="409"/>
      <c r="AK85" s="409"/>
      <c r="AL85" s="409"/>
      <c r="AM85" s="409"/>
      <c r="AN85" s="409"/>
      <c r="AO85" s="409"/>
      <c r="AP85" s="409"/>
      <c r="AQ85" s="409"/>
      <c r="AR85" s="48"/>
      <c r="AS85" s="48"/>
      <c r="AT85" s="48"/>
      <c r="AU85" s="48"/>
      <c r="AV85" s="48"/>
      <c r="AW85" s="48"/>
      <c r="AX85" s="48"/>
    </row>
    <row r="86" spans="1:50">
      <c r="A86" s="48"/>
      <c r="B86" s="48"/>
      <c r="C86" s="48"/>
      <c r="D86" s="48"/>
      <c r="E86" s="48"/>
      <c r="F86" s="48"/>
      <c r="G86" s="48"/>
      <c r="H86" s="48"/>
      <c r="I86" s="48"/>
      <c r="J86" s="48"/>
      <c r="K86" s="48"/>
      <c r="L86" s="48"/>
      <c r="M86" s="48"/>
      <c r="N86" s="48"/>
      <c r="O86" s="48"/>
      <c r="P86" s="48"/>
      <c r="Q86" s="48"/>
      <c r="R86" s="48"/>
      <c r="S86" s="48"/>
      <c r="T86" s="409"/>
      <c r="U86" s="409"/>
      <c r="V86" s="409"/>
      <c r="W86" s="409" t="s">
        <v>132</v>
      </c>
      <c r="X86" s="409">
        <f t="shared" si="55"/>
        <v>0.15333544790357864</v>
      </c>
      <c r="Y86" s="409">
        <f t="shared" si="56"/>
        <v>2.8267247122531796E-2</v>
      </c>
      <c r="Z86" s="409">
        <f t="shared" si="57"/>
        <v>4.6026522410510067</v>
      </c>
      <c r="AA86" s="409">
        <f t="shared" si="58"/>
        <v>16.725972253763082</v>
      </c>
      <c r="AB86" s="409">
        <f t="shared" si="59"/>
        <v>-12.123320012712075</v>
      </c>
      <c r="AC86" s="409">
        <f t="shared" si="60"/>
        <v>-0.12506820078104686</v>
      </c>
      <c r="AD86" s="409">
        <f t="shared" si="61"/>
        <v>96.933672484311231</v>
      </c>
      <c r="AE86" s="409">
        <f t="shared" si="62"/>
        <v>1.8626041664424235</v>
      </c>
      <c r="AF86" s="409">
        <f t="shared" si="63"/>
        <v>96.933672484311231</v>
      </c>
      <c r="AG86" s="409">
        <f t="shared" si="64"/>
        <v>1.8626041664424235</v>
      </c>
      <c r="AH86" s="409">
        <f t="shared" si="65"/>
        <v>96.933672484311231</v>
      </c>
      <c r="AI86" s="409"/>
      <c r="AJ86" s="409"/>
      <c r="AK86" s="409"/>
      <c r="AL86" s="409"/>
      <c r="AM86" s="409"/>
      <c r="AN86" s="409"/>
      <c r="AO86" s="409"/>
      <c r="AP86" s="409"/>
      <c r="AQ86" s="409"/>
      <c r="AR86" s="48"/>
      <c r="AS86" s="48"/>
      <c r="AT86" s="48"/>
      <c r="AU86" s="48"/>
      <c r="AV86" s="48"/>
      <c r="AW86" s="48"/>
      <c r="AX86" s="48"/>
    </row>
    <row r="87" spans="1:50">
      <c r="A87" s="48"/>
      <c r="B87" s="48"/>
      <c r="C87" s="48"/>
      <c r="D87" s="48"/>
      <c r="E87" s="48"/>
      <c r="F87" s="48"/>
      <c r="G87" s="48"/>
      <c r="H87" s="48"/>
      <c r="I87" s="48"/>
      <c r="J87" s="48"/>
      <c r="K87" s="48"/>
      <c r="L87" s="48"/>
      <c r="M87" s="48"/>
      <c r="N87" s="48"/>
      <c r="O87" s="48"/>
      <c r="P87" s="48"/>
      <c r="Q87" s="48"/>
      <c r="R87" s="48"/>
      <c r="S87" s="48"/>
      <c r="T87" s="409"/>
      <c r="U87" s="409"/>
      <c r="V87" s="409"/>
      <c r="W87" s="409" t="s">
        <v>133</v>
      </c>
      <c r="X87" s="409">
        <f t="shared" si="55"/>
        <v>0.15333544790357864</v>
      </c>
      <c r="Y87" s="409">
        <f t="shared" si="56"/>
        <v>1.8708294187878879E-2</v>
      </c>
      <c r="Z87" s="409">
        <f t="shared" si="57"/>
        <v>4.279695847811797</v>
      </c>
      <c r="AA87" s="409">
        <f t="shared" si="58"/>
        <v>16.725972253763082</v>
      </c>
      <c r="AB87" s="409">
        <f t="shared" si="59"/>
        <v>-12.446276405951284</v>
      </c>
      <c r="AC87" s="409">
        <f t="shared" si="60"/>
        <v>-0.13462715371569978</v>
      </c>
      <c r="AD87" s="409">
        <f t="shared" si="61"/>
        <v>92.449970622084393</v>
      </c>
      <c r="AE87" s="409">
        <f t="shared" si="62"/>
        <v>2.5501145997530852</v>
      </c>
      <c r="AF87" s="409">
        <f t="shared" si="63"/>
        <v>92.449970622084393</v>
      </c>
      <c r="AG87" s="409">
        <f t="shared" si="64"/>
        <v>2.5501145997530852</v>
      </c>
      <c r="AH87" s="409">
        <f t="shared" si="65"/>
        <v>92.449970622084393</v>
      </c>
      <c r="AI87" s="409"/>
      <c r="AJ87" s="409"/>
      <c r="AK87" s="409"/>
      <c r="AL87" s="409"/>
      <c r="AM87" s="409"/>
      <c r="AN87" s="409"/>
      <c r="AO87" s="409"/>
      <c r="AP87" s="409"/>
      <c r="AQ87" s="409"/>
      <c r="AR87" s="48"/>
      <c r="AS87" s="48"/>
      <c r="AT87" s="48"/>
      <c r="AU87" s="48"/>
      <c r="AV87" s="48"/>
      <c r="AW87" s="48"/>
      <c r="AX87" s="48"/>
    </row>
    <row r="88" spans="1:50">
      <c r="T88" s="409"/>
      <c r="U88" s="409"/>
      <c r="V88" s="409"/>
      <c r="W88" s="409" t="s">
        <v>134</v>
      </c>
      <c r="X88" s="409">
        <f>IF($U$48=0,0,$U$48/$V$48)</f>
        <v>0.2283388729207583</v>
      </c>
      <c r="Y88" s="409">
        <f>IF(V49=0,0,U49/V49)</f>
        <v>0.18446179975112231</v>
      </c>
      <c r="Z88" s="409">
        <f t="shared" ref="Z88:Z93" si="66">U49</f>
        <v>18.346928261919611</v>
      </c>
      <c r="AA88" s="409">
        <f t="shared" ref="AA88:AA93" si="67">$U$48</f>
        <v>20.765473705480726</v>
      </c>
      <c r="AB88" s="409">
        <f t="shared" si="59"/>
        <v>-2.4185454435611149</v>
      </c>
      <c r="AC88" s="409">
        <f t="shared" si="60"/>
        <v>-4.3877073169635988E-2</v>
      </c>
      <c r="AD88" s="409">
        <f>IF(AC88=0,0,AB88/AC88)</f>
        <v>55.12093831351558</v>
      </c>
      <c r="AE88" s="409">
        <f t="shared" si="62"/>
        <v>8.1792207766379352</v>
      </c>
      <c r="AF88" s="409">
        <f t="shared" si="63"/>
        <v>55.12093831351558</v>
      </c>
      <c r="AG88" s="409">
        <f t="shared" si="64"/>
        <v>8.1792207766379352</v>
      </c>
      <c r="AH88" s="409">
        <f t="shared" si="65"/>
        <v>55.12093831351558</v>
      </c>
      <c r="AI88" s="409">
        <f>MIN(AH88:AH93)</f>
        <v>55.12093831351558</v>
      </c>
      <c r="AJ88" s="409">
        <f>MAX(AG88:AG93)</f>
        <v>8.1792207766379352</v>
      </c>
      <c r="AK88" s="409">
        <f>IF(OR(AI88=0,AJ88=0),"",VLOOKUP(AI88,AF88:AG93,2,FALSE))</f>
        <v>8.1792207766379352</v>
      </c>
      <c r="AL88" s="409" t="str">
        <f>IF(AJ88=AK88,"ok","fallo")</f>
        <v>ok</v>
      </c>
      <c r="AM88" s="409">
        <f>IF($AL$88="ok",IF(AI88&lt;0.5,0.5,AI88),"")</f>
        <v>55.12093831351558</v>
      </c>
      <c r="AN88" s="409">
        <f>IF($AL$88="ok",AJ88,"")</f>
        <v>8.1792207766379352</v>
      </c>
      <c r="AO88" s="409">
        <f>IF(AM88="","",(AM88*$F$26)+(AN88*$F$25))</f>
        <v>58445.907781445043</v>
      </c>
      <c r="AP88" s="409">
        <f>AM88</f>
        <v>55.12093831351558</v>
      </c>
      <c r="AQ88" s="409">
        <f>AN88</f>
        <v>8.1792207766379352</v>
      </c>
    </row>
    <row r="89" spans="1:50">
      <c r="T89" s="409"/>
      <c r="U89" s="409"/>
      <c r="V89" s="409"/>
      <c r="W89" s="409" t="s">
        <v>135</v>
      </c>
      <c r="X89" s="409">
        <f t="shared" ref="X89:X93" si="68">IF($U$48=0,0,$U$48/$V$48)</f>
        <v>0.2283388729207583</v>
      </c>
      <c r="Y89" s="409">
        <f t="shared" ref="Y89:Y93" si="69">IF(V50=0,0,U50/V50)</f>
        <v>9.2962143042476256E-2</v>
      </c>
      <c r="Z89" s="409">
        <f t="shared" si="66"/>
        <v>12.306685537241748</v>
      </c>
      <c r="AA89" s="409">
        <f t="shared" si="67"/>
        <v>20.765473705480726</v>
      </c>
      <c r="AB89" s="409">
        <f t="shared" ref="AB89:AB94" si="70">Z89-AA89</f>
        <v>-8.4587881682389785</v>
      </c>
      <c r="AC89" s="409">
        <f t="shared" ref="AC89:AC94" si="71">Y89-X89</f>
        <v>-0.13537672987828203</v>
      </c>
      <c r="AD89" s="409">
        <f t="shared" ref="AD89:AD93" si="72">IF(AC89=0,0,AB89/AC89)</f>
        <v>62.483324688403407</v>
      </c>
      <c r="AE89" s="409">
        <f t="shared" ref="AE89:AE94" si="73">-((X89)*AD89)+AA89</f>
        <v>6.4981017697889012</v>
      </c>
      <c r="AF89" s="409">
        <f t="shared" ref="AF89:AF94" si="74">IF(OR(AD89&gt;$K$28,AD89&lt;0),0,AD89)</f>
        <v>62.483324688403407</v>
      </c>
      <c r="AG89" s="409">
        <f t="shared" ref="AG89:AG94" si="75">IF(OR(AE89&gt;$K$27,AE89&lt;0),0,AE89)</f>
        <v>6.4981017697889012</v>
      </c>
      <c r="AH89" s="409">
        <f t="shared" ref="AH89:AH94" si="76">IF(AF89&gt;0,AF89,"")</f>
        <v>62.483324688403407</v>
      </c>
      <c r="AI89" s="409"/>
      <c r="AJ89" s="409"/>
      <c r="AK89" s="409"/>
      <c r="AL89" s="409"/>
      <c r="AM89" s="409"/>
      <c r="AN89" s="409"/>
      <c r="AO89" s="409"/>
      <c r="AP89" s="409"/>
      <c r="AQ89" s="409"/>
    </row>
    <row r="90" spans="1:50">
      <c r="T90" s="409"/>
      <c r="U90" s="409"/>
      <c r="V90" s="409"/>
      <c r="W90" s="409" t="s">
        <v>136</v>
      </c>
      <c r="X90" s="409">
        <f t="shared" si="68"/>
        <v>0.2283388729207583</v>
      </c>
      <c r="Y90" s="409">
        <f t="shared" si="69"/>
        <v>6.6553342184203626E-2</v>
      </c>
      <c r="Z90" s="409">
        <f t="shared" si="66"/>
        <v>7.9851582818351332</v>
      </c>
      <c r="AA90" s="409">
        <f t="shared" si="67"/>
        <v>20.765473705480726</v>
      </c>
      <c r="AB90" s="409">
        <f t="shared" si="70"/>
        <v>-12.780315423645593</v>
      </c>
      <c r="AC90" s="409">
        <f t="shared" si="71"/>
        <v>-0.16178553073655466</v>
      </c>
      <c r="AD90" s="409">
        <f t="shared" si="72"/>
        <v>78.995416743766583</v>
      </c>
      <c r="AE90" s="409">
        <f t="shared" si="73"/>
        <v>2.7277492803034669</v>
      </c>
      <c r="AF90" s="409">
        <f t="shared" si="74"/>
        <v>78.995416743766583</v>
      </c>
      <c r="AG90" s="409">
        <f t="shared" si="75"/>
        <v>2.7277492803034669</v>
      </c>
      <c r="AH90" s="409">
        <f t="shared" si="76"/>
        <v>78.995416743766583</v>
      </c>
      <c r="AI90" s="409"/>
      <c r="AJ90" s="409"/>
      <c r="AK90" s="409"/>
      <c r="AL90" s="409"/>
      <c r="AM90" s="409"/>
      <c r="AN90" s="409"/>
      <c r="AO90" s="409"/>
      <c r="AP90" s="409"/>
      <c r="AQ90" s="409"/>
    </row>
    <row r="91" spans="1:50">
      <c r="T91" s="409"/>
      <c r="U91" s="409"/>
      <c r="V91" s="409"/>
      <c r="W91" s="409" t="s">
        <v>137</v>
      </c>
      <c r="X91" s="409">
        <f t="shared" si="68"/>
        <v>0.2283388729207583</v>
      </c>
      <c r="Y91" s="409">
        <f t="shared" si="69"/>
        <v>3.1960326331748931E-2</v>
      </c>
      <c r="Z91" s="409">
        <f t="shared" si="66"/>
        <v>6.4996489679011251</v>
      </c>
      <c r="AA91" s="409">
        <f t="shared" si="67"/>
        <v>20.765473705480726</v>
      </c>
      <c r="AB91" s="409">
        <f t="shared" si="70"/>
        <v>-14.265824737579601</v>
      </c>
      <c r="AC91" s="409">
        <f t="shared" si="71"/>
        <v>-0.19637854658900938</v>
      </c>
      <c r="AD91" s="409">
        <f t="shared" si="72"/>
        <v>72.644517363884034</v>
      </c>
      <c r="AE91" s="409">
        <f t="shared" si="73"/>
        <v>4.1779064867389906</v>
      </c>
      <c r="AF91" s="409">
        <f t="shared" si="74"/>
        <v>72.644517363884034</v>
      </c>
      <c r="AG91" s="409">
        <f t="shared" si="75"/>
        <v>4.1779064867389906</v>
      </c>
      <c r="AH91" s="409">
        <f t="shared" si="76"/>
        <v>72.644517363884034</v>
      </c>
      <c r="AI91" s="409"/>
      <c r="AJ91" s="409"/>
      <c r="AK91" s="409"/>
      <c r="AL91" s="409"/>
      <c r="AM91" s="409"/>
      <c r="AN91" s="409"/>
      <c r="AO91" s="409"/>
      <c r="AP91" s="409"/>
      <c r="AQ91" s="409"/>
    </row>
    <row r="92" spans="1:50">
      <c r="T92" s="409"/>
      <c r="U92" s="409"/>
      <c r="V92" s="409"/>
      <c r="W92" s="409" t="s">
        <v>138</v>
      </c>
      <c r="X92" s="409">
        <f t="shared" si="68"/>
        <v>0.2283388729207583</v>
      </c>
      <c r="Y92" s="409">
        <f t="shared" si="69"/>
        <v>2.8267247122531796E-2</v>
      </c>
      <c r="Z92" s="409">
        <f t="shared" si="66"/>
        <v>4.6026522410510067</v>
      </c>
      <c r="AA92" s="409">
        <f t="shared" si="67"/>
        <v>20.765473705480726</v>
      </c>
      <c r="AB92" s="409">
        <f t="shared" si="70"/>
        <v>-16.162821464429719</v>
      </c>
      <c r="AC92" s="409">
        <f t="shared" si="71"/>
        <v>-0.20007162579822652</v>
      </c>
      <c r="AD92" s="409">
        <f t="shared" si="72"/>
        <v>80.785175808637774</v>
      </c>
      <c r="AE92" s="409">
        <f t="shared" si="73"/>
        <v>2.3190777126310671</v>
      </c>
      <c r="AF92" s="409">
        <f t="shared" si="74"/>
        <v>80.785175808637774</v>
      </c>
      <c r="AG92" s="409">
        <f t="shared" si="75"/>
        <v>2.3190777126310671</v>
      </c>
      <c r="AH92" s="409">
        <f t="shared" si="76"/>
        <v>80.785175808637774</v>
      </c>
      <c r="AI92" s="409"/>
      <c r="AJ92" s="409"/>
      <c r="AK92" s="409"/>
      <c r="AL92" s="409"/>
      <c r="AM92" s="409"/>
      <c r="AN92" s="409"/>
      <c r="AO92" s="409"/>
      <c r="AP92" s="409"/>
      <c r="AQ92" s="409"/>
    </row>
    <row r="93" spans="1:50">
      <c r="T93" s="409"/>
      <c r="U93" s="409"/>
      <c r="V93" s="409"/>
      <c r="W93" s="409" t="s">
        <v>139</v>
      </c>
      <c r="X93" s="409">
        <f t="shared" si="68"/>
        <v>0.2283388729207583</v>
      </c>
      <c r="Y93" s="409">
        <f t="shared" si="69"/>
        <v>1.8708294187878879E-2</v>
      </c>
      <c r="Z93" s="409">
        <f t="shared" si="66"/>
        <v>4.279695847811797</v>
      </c>
      <c r="AA93" s="409">
        <f t="shared" si="67"/>
        <v>20.765473705480726</v>
      </c>
      <c r="AB93" s="409">
        <f t="shared" si="70"/>
        <v>-16.485777857668928</v>
      </c>
      <c r="AC93" s="409">
        <f t="shared" si="71"/>
        <v>-0.20963057873287944</v>
      </c>
      <c r="AD93" s="409">
        <f t="shared" si="72"/>
        <v>78.642047154178954</v>
      </c>
      <c r="AE93" s="409">
        <f t="shared" si="73"/>
        <v>2.8084372941143769</v>
      </c>
      <c r="AF93" s="409">
        <f t="shared" si="74"/>
        <v>78.642047154178954</v>
      </c>
      <c r="AG93" s="409">
        <f t="shared" si="75"/>
        <v>2.8084372941143769</v>
      </c>
      <c r="AH93" s="409">
        <f t="shared" si="76"/>
        <v>78.642047154178954</v>
      </c>
      <c r="AI93" s="409"/>
      <c r="AJ93" s="409"/>
      <c r="AK93" s="409"/>
      <c r="AL93" s="409"/>
      <c r="AM93" s="409"/>
      <c r="AN93" s="409"/>
      <c r="AO93" s="409"/>
      <c r="AP93" s="409"/>
      <c r="AQ93" s="409"/>
    </row>
    <row r="94" spans="1:50">
      <c r="T94" s="409"/>
      <c r="U94" s="409"/>
      <c r="V94" s="409"/>
      <c r="W94" s="409" t="s">
        <v>140</v>
      </c>
      <c r="X94" s="409">
        <f>IF($U$49=0,0,$U$49/$V$49)</f>
        <v>0.18446179975112231</v>
      </c>
      <c r="Y94" s="409">
        <f>IF(V50=0,0,U50/V50)</f>
        <v>9.2962143042476256E-2</v>
      </c>
      <c r="Z94" s="409">
        <f>U50</f>
        <v>12.306685537241748</v>
      </c>
      <c r="AA94" s="409">
        <f>$U$49</f>
        <v>18.346928261919611</v>
      </c>
      <c r="AB94" s="409">
        <f t="shared" si="70"/>
        <v>-6.0402427246778636</v>
      </c>
      <c r="AC94" s="409">
        <f t="shared" si="71"/>
        <v>-9.1499656708646057E-2</v>
      </c>
      <c r="AD94" s="409">
        <f>IF(AC94=0,0,AB94/AC94)</f>
        <v>66.013829362346712</v>
      </c>
      <c r="AE94" s="409">
        <f t="shared" si="73"/>
        <v>6.1698984892776547</v>
      </c>
      <c r="AF94" s="409">
        <f t="shared" si="74"/>
        <v>66.013829362346712</v>
      </c>
      <c r="AG94" s="409">
        <f t="shared" si="75"/>
        <v>6.1698984892776547</v>
      </c>
      <c r="AH94" s="409">
        <f t="shared" si="76"/>
        <v>66.013829362346712</v>
      </c>
      <c r="AI94" s="409">
        <f>MIN(AH94:AH98)</f>
        <v>66.013829362346712</v>
      </c>
      <c r="AJ94" s="409">
        <f>MAX(AG94:AG98)</f>
        <v>6.1698984892776547</v>
      </c>
      <c r="AK94" s="409">
        <f>IF(OR(AI94=0,AJ94=0),"",VLOOKUP(AI94,AF94:AG98,2,FALSE))</f>
        <v>6.1698984892776547</v>
      </c>
      <c r="AL94" s="409" t="str">
        <f>IF(AJ94=AK94,"ok","fallo")</f>
        <v>ok</v>
      </c>
      <c r="AM94" s="409">
        <f>IF($AL$94="ok",IF(AI94&lt;0.5,0.5,AI94),"")</f>
        <v>66.013829362346712</v>
      </c>
      <c r="AN94" s="409">
        <f>IF($AL$94="ok",AJ94,"")</f>
        <v>6.1698984892776547</v>
      </c>
      <c r="AO94" s="409">
        <f>IF(AM94="","",(AM94*$F$26)+(AN94*$F$25))</f>
        <v>53861.580022224254</v>
      </c>
      <c r="AP94" s="409">
        <f>AM94</f>
        <v>66.013829362346712</v>
      </c>
      <c r="AQ94" s="409">
        <f>AN94</f>
        <v>6.1698984892776547</v>
      </c>
    </row>
    <row r="95" spans="1:50">
      <c r="T95" s="409"/>
      <c r="U95" s="409"/>
      <c r="V95" s="409"/>
      <c r="W95" s="409" t="s">
        <v>141</v>
      </c>
      <c r="X95" s="409">
        <f t="shared" ref="X95:X98" si="77">IF($U$49=0,0,$U$49/$V$49)</f>
        <v>0.18446179975112231</v>
      </c>
      <c r="Y95" s="409">
        <f t="shared" ref="Y95:Y98" si="78">IF(V51=0,0,U51/V51)</f>
        <v>6.6553342184203626E-2</v>
      </c>
      <c r="Z95" s="409">
        <f>U51</f>
        <v>7.9851582818351332</v>
      </c>
      <c r="AA95" s="409">
        <f>$U$49</f>
        <v>18.346928261919611</v>
      </c>
      <c r="AB95" s="409">
        <f t="shared" ref="AB95:AB108" si="79">Z95-AA95</f>
        <v>-10.361769980084478</v>
      </c>
      <c r="AC95" s="409">
        <f t="shared" ref="AC95:AC108" si="80">Y95-X95</f>
        <v>-0.11790845756691869</v>
      </c>
      <c r="AD95" s="409">
        <f t="shared" ref="AD95:AD98" si="81">IF(AC95=0,0,AB95/AC95)</f>
        <v>87.879785673590703</v>
      </c>
      <c r="AE95" s="409">
        <f t="shared" ref="AE95:AE108" si="82">-((X95)*AD95)+AA95</f>
        <v>2.1364648348261746</v>
      </c>
      <c r="AF95" s="409">
        <f t="shared" ref="AF95:AF108" si="83">IF(OR(AD95&gt;$K$28,AD95&lt;0),0,AD95)</f>
        <v>87.879785673590703</v>
      </c>
      <c r="AG95" s="409">
        <f t="shared" ref="AG95:AG108" si="84">IF(OR(AE95&gt;$K$27,AE95&lt;0),0,AE95)</f>
        <v>2.1364648348261746</v>
      </c>
      <c r="AH95" s="409">
        <f t="shared" ref="AH95:AH108" si="85">IF(AF95&gt;0,AF95,"")</f>
        <v>87.879785673590703</v>
      </c>
      <c r="AI95" s="409"/>
      <c r="AJ95" s="409"/>
      <c r="AK95" s="409"/>
      <c r="AL95" s="409"/>
      <c r="AM95" s="409"/>
      <c r="AN95" s="409"/>
      <c r="AO95" s="409"/>
      <c r="AP95" s="409"/>
      <c r="AQ95" s="409"/>
    </row>
    <row r="96" spans="1:50">
      <c r="T96" s="409"/>
      <c r="U96" s="409"/>
      <c r="V96" s="409"/>
      <c r="W96" s="409" t="s">
        <v>142</v>
      </c>
      <c r="X96" s="409">
        <f t="shared" si="77"/>
        <v>0.18446179975112231</v>
      </c>
      <c r="Y96" s="409">
        <f t="shared" si="78"/>
        <v>3.1960326331748931E-2</v>
      </c>
      <c r="Z96" s="409">
        <f>U52</f>
        <v>6.4996489679011251</v>
      </c>
      <c r="AA96" s="409">
        <f>$U$49</f>
        <v>18.346928261919611</v>
      </c>
      <c r="AB96" s="409">
        <f t="shared" si="79"/>
        <v>-11.847279294018486</v>
      </c>
      <c r="AC96" s="409">
        <f t="shared" si="80"/>
        <v>-0.15250147341937337</v>
      </c>
      <c r="AD96" s="409">
        <f t="shared" si="81"/>
        <v>77.686326750685936</v>
      </c>
      <c r="AE96" s="409">
        <f t="shared" si="82"/>
        <v>4.0167686134343263</v>
      </c>
      <c r="AF96" s="409">
        <f t="shared" si="83"/>
        <v>77.686326750685936</v>
      </c>
      <c r="AG96" s="409">
        <f t="shared" si="84"/>
        <v>4.0167686134343263</v>
      </c>
      <c r="AH96" s="409">
        <f t="shared" si="85"/>
        <v>77.686326750685936</v>
      </c>
      <c r="AI96" s="409"/>
      <c r="AJ96" s="409"/>
      <c r="AK96" s="409"/>
      <c r="AL96" s="409"/>
      <c r="AM96" s="409"/>
      <c r="AN96" s="409"/>
      <c r="AO96" s="409"/>
      <c r="AP96" s="409"/>
      <c r="AQ96" s="409"/>
    </row>
    <row r="97" spans="20:43">
      <c r="T97" s="409"/>
      <c r="U97" s="409"/>
      <c r="V97" s="409"/>
      <c r="W97" s="409" t="s">
        <v>143</v>
      </c>
      <c r="X97" s="409">
        <f t="shared" si="77"/>
        <v>0.18446179975112231</v>
      </c>
      <c r="Y97" s="409">
        <f t="shared" si="78"/>
        <v>2.8267247122531796E-2</v>
      </c>
      <c r="Z97" s="409">
        <f>U53</f>
        <v>4.6026522410510067</v>
      </c>
      <c r="AA97" s="409">
        <f>$U$49</f>
        <v>18.346928261919611</v>
      </c>
      <c r="AB97" s="409">
        <f t="shared" si="79"/>
        <v>-13.744276020868604</v>
      </c>
      <c r="AC97" s="409">
        <f t="shared" si="80"/>
        <v>-0.15619455262859053</v>
      </c>
      <c r="AD97" s="409">
        <f t="shared" si="81"/>
        <v>87.994592574240599</v>
      </c>
      <c r="AE97" s="409">
        <f t="shared" si="82"/>
        <v>2.115287347308449</v>
      </c>
      <c r="AF97" s="409">
        <f t="shared" si="83"/>
        <v>87.994592574240599</v>
      </c>
      <c r="AG97" s="409">
        <f t="shared" si="84"/>
        <v>2.115287347308449</v>
      </c>
      <c r="AH97" s="409">
        <f t="shared" si="85"/>
        <v>87.994592574240599</v>
      </c>
      <c r="AI97" s="409"/>
      <c r="AJ97" s="409"/>
      <c r="AK97" s="409"/>
      <c r="AL97" s="409"/>
      <c r="AM97" s="409"/>
      <c r="AN97" s="409"/>
      <c r="AO97" s="409"/>
      <c r="AP97" s="409"/>
      <c r="AQ97" s="409"/>
    </row>
    <row r="98" spans="20:43">
      <c r="T98" s="409"/>
      <c r="U98" s="409"/>
      <c r="V98" s="409"/>
      <c r="W98" s="409" t="s">
        <v>144</v>
      </c>
      <c r="X98" s="409">
        <f t="shared" si="77"/>
        <v>0.18446179975112231</v>
      </c>
      <c r="Y98" s="409">
        <f t="shared" si="78"/>
        <v>1.8708294187878879E-2</v>
      </c>
      <c r="Z98" s="409">
        <f>U54</f>
        <v>4.279695847811797</v>
      </c>
      <c r="AA98" s="409">
        <f>$U$49</f>
        <v>18.346928261919611</v>
      </c>
      <c r="AB98" s="409">
        <f t="shared" si="79"/>
        <v>-14.067232414107814</v>
      </c>
      <c r="AC98" s="409">
        <f t="shared" si="80"/>
        <v>-0.16575350556324342</v>
      </c>
      <c r="AD98" s="409">
        <f t="shared" si="81"/>
        <v>84.868385536138462</v>
      </c>
      <c r="AE98" s="409">
        <f t="shared" si="82"/>
        <v>2.691953123951393</v>
      </c>
      <c r="AF98" s="409">
        <f t="shared" si="83"/>
        <v>84.868385536138462</v>
      </c>
      <c r="AG98" s="409">
        <f t="shared" si="84"/>
        <v>2.691953123951393</v>
      </c>
      <c r="AH98" s="409">
        <f t="shared" si="85"/>
        <v>84.868385536138462</v>
      </c>
      <c r="AI98" s="409"/>
      <c r="AJ98" s="409"/>
      <c r="AK98" s="409"/>
      <c r="AL98" s="409"/>
      <c r="AM98" s="409"/>
      <c r="AN98" s="409"/>
      <c r="AO98" s="409"/>
      <c r="AP98" s="409"/>
      <c r="AQ98" s="409"/>
    </row>
    <row r="99" spans="20:43">
      <c r="T99" s="409"/>
      <c r="U99" s="409"/>
      <c r="V99" s="409"/>
      <c r="W99" s="409" t="s">
        <v>145</v>
      </c>
      <c r="X99" s="409">
        <f>IF($U$50=0,0,$U$50/$V$50)</f>
        <v>9.2962143042476256E-2</v>
      </c>
      <c r="Y99" s="409">
        <f>IF(V51=0,0,U51/V51)</f>
        <v>6.6553342184203626E-2</v>
      </c>
      <c r="Z99" s="409">
        <f>U51</f>
        <v>7.9851582818351332</v>
      </c>
      <c r="AA99" s="409">
        <f>$U$50</f>
        <v>12.306685537241748</v>
      </c>
      <c r="AB99" s="409">
        <f t="shared" si="79"/>
        <v>-4.3215272554066146</v>
      </c>
      <c r="AC99" s="409">
        <f t="shared" si="80"/>
        <v>-2.640880085827263E-2</v>
      </c>
      <c r="AD99" s="409">
        <f>IF(AC99=0,0,AB99/AC99)</f>
        <v>163.63966234585334</v>
      </c>
      <c r="AE99" s="409">
        <f t="shared" si="82"/>
        <v>-2.9056081611759854</v>
      </c>
      <c r="AF99" s="409">
        <f t="shared" si="83"/>
        <v>163.63966234585334</v>
      </c>
      <c r="AG99" s="409">
        <f t="shared" si="84"/>
        <v>0</v>
      </c>
      <c r="AH99" s="409">
        <f t="shared" si="85"/>
        <v>163.63966234585334</v>
      </c>
      <c r="AI99" s="409">
        <f>MIN(AH99:AH102)</f>
        <v>95.194485713069596</v>
      </c>
      <c r="AJ99" s="409">
        <f>MAX(AG99:AG102)</f>
        <v>3.4572021395284089</v>
      </c>
      <c r="AK99" s="409">
        <f>IF(OR(AI99=0,AJ99=0),"",VLOOKUP(AI99,AF99:AG102,2,FALSE))</f>
        <v>3.4572021395284089</v>
      </c>
      <c r="AL99" s="409" t="str">
        <f>IF(AJ99=AK99,"ok","fallo")</f>
        <v>ok</v>
      </c>
      <c r="AM99" s="409">
        <f>IF($AL$99="ok",IF(AI99&lt;0.5,0.5,AI99),"")</f>
        <v>95.194485713069596</v>
      </c>
      <c r="AN99" s="409">
        <f>IF($AL$99="ok",AJ99,"")</f>
        <v>3.4572021395284089</v>
      </c>
      <c r="AO99" s="409">
        <f>IF(AM99="","",(AM99*$F$26)+(AN99*$F$25))</f>
        <v>53462.343806129255</v>
      </c>
      <c r="AP99" s="409">
        <f>AM99</f>
        <v>95.194485713069596</v>
      </c>
      <c r="AQ99" s="409">
        <f>AN99</f>
        <v>3.4572021395284089</v>
      </c>
    </row>
    <row r="100" spans="20:43">
      <c r="T100" s="409"/>
      <c r="U100" s="409"/>
      <c r="V100" s="409"/>
      <c r="W100" s="409" t="s">
        <v>146</v>
      </c>
      <c r="X100" s="409">
        <f t="shared" ref="X100:X102" si="86">IF($U$50=0,0,$U$50/$V$50)</f>
        <v>9.2962143042476256E-2</v>
      </c>
      <c r="Y100" s="409">
        <f t="shared" ref="Y100:Y102" si="87">IF(V52=0,0,U52/V52)</f>
        <v>3.1960326331748931E-2</v>
      </c>
      <c r="Z100" s="409">
        <f>U52</f>
        <v>6.4996489679011251</v>
      </c>
      <c r="AA100" s="409">
        <f>$U$50</f>
        <v>12.306685537241748</v>
      </c>
      <c r="AB100" s="409">
        <f t="shared" si="79"/>
        <v>-5.8070365693406227</v>
      </c>
      <c r="AC100" s="409">
        <f t="shared" si="80"/>
        <v>-6.1001816710727325E-2</v>
      </c>
      <c r="AD100" s="409">
        <f t="shared" ref="AD100:AD102" si="88">IF(AC100=0,0,AB100/AC100)</f>
        <v>95.194485713069596</v>
      </c>
      <c r="AE100" s="409">
        <f t="shared" si="82"/>
        <v>3.4572021395284089</v>
      </c>
      <c r="AF100" s="409">
        <f t="shared" si="83"/>
        <v>95.194485713069596</v>
      </c>
      <c r="AG100" s="409">
        <f t="shared" si="84"/>
        <v>3.4572021395284089</v>
      </c>
      <c r="AH100" s="409">
        <f t="shared" si="85"/>
        <v>95.194485713069596</v>
      </c>
      <c r="AI100" s="409"/>
      <c r="AJ100" s="409"/>
      <c r="AK100" s="409"/>
      <c r="AL100" s="409"/>
      <c r="AM100" s="409"/>
      <c r="AN100" s="409"/>
      <c r="AO100" s="409"/>
      <c r="AP100" s="409"/>
      <c r="AQ100" s="409"/>
    </row>
    <row r="101" spans="20:43">
      <c r="T101" s="409"/>
      <c r="U101" s="409"/>
      <c r="V101" s="409"/>
      <c r="W101" s="409" t="s">
        <v>147</v>
      </c>
      <c r="X101" s="409">
        <f t="shared" si="86"/>
        <v>9.2962143042476256E-2</v>
      </c>
      <c r="Y101" s="409">
        <f t="shared" si="87"/>
        <v>2.8267247122531796E-2</v>
      </c>
      <c r="Z101" s="409">
        <f>U53</f>
        <v>4.6026522410510067</v>
      </c>
      <c r="AA101" s="409">
        <f>$U$50</f>
        <v>12.306685537241748</v>
      </c>
      <c r="AB101" s="409">
        <f t="shared" si="79"/>
        <v>-7.7040332961907412</v>
      </c>
      <c r="AC101" s="409">
        <f t="shared" si="80"/>
        <v>-6.4694895919944456E-2</v>
      </c>
      <c r="AD101" s="409">
        <f t="shared" si="88"/>
        <v>119.08255182486049</v>
      </c>
      <c r="AE101" s="409">
        <f t="shared" si="82"/>
        <v>1.2365163206359746</v>
      </c>
      <c r="AF101" s="409">
        <f t="shared" si="83"/>
        <v>119.08255182486049</v>
      </c>
      <c r="AG101" s="409">
        <f t="shared" si="84"/>
        <v>1.2365163206359746</v>
      </c>
      <c r="AH101" s="409">
        <f t="shared" si="85"/>
        <v>119.08255182486049</v>
      </c>
      <c r="AI101" s="409"/>
      <c r="AJ101" s="409"/>
      <c r="AK101" s="409"/>
      <c r="AL101" s="409"/>
      <c r="AM101" s="409"/>
      <c r="AN101" s="409"/>
      <c r="AO101" s="409"/>
      <c r="AP101" s="409"/>
      <c r="AQ101" s="409"/>
    </row>
    <row r="102" spans="20:43">
      <c r="T102" s="409"/>
      <c r="U102" s="409"/>
      <c r="V102" s="409"/>
      <c r="W102" s="409" t="s">
        <v>148</v>
      </c>
      <c r="X102" s="409">
        <f t="shared" si="86"/>
        <v>9.2962143042476256E-2</v>
      </c>
      <c r="Y102" s="409">
        <f t="shared" si="87"/>
        <v>1.8708294187878879E-2</v>
      </c>
      <c r="Z102" s="409">
        <f>U54</f>
        <v>4.279695847811797</v>
      </c>
      <c r="AA102" s="409">
        <f>$U$50</f>
        <v>12.306685537241748</v>
      </c>
      <c r="AB102" s="409">
        <f t="shared" si="79"/>
        <v>-8.0269896894299499</v>
      </c>
      <c r="AC102" s="409">
        <f t="shared" si="80"/>
        <v>-7.4253848854597376E-2</v>
      </c>
      <c r="AD102" s="409">
        <f t="shared" si="88"/>
        <v>108.10200162348843</v>
      </c>
      <c r="AE102" s="409">
        <f t="shared" si="82"/>
        <v>2.2572917991410151</v>
      </c>
      <c r="AF102" s="409">
        <f t="shared" si="83"/>
        <v>108.10200162348843</v>
      </c>
      <c r="AG102" s="409">
        <f t="shared" si="84"/>
        <v>2.2572917991410151</v>
      </c>
      <c r="AH102" s="409">
        <f t="shared" si="85"/>
        <v>108.10200162348843</v>
      </c>
      <c r="AI102" s="409"/>
      <c r="AJ102" s="409"/>
      <c r="AK102" s="409"/>
      <c r="AL102" s="409"/>
      <c r="AM102" s="409"/>
      <c r="AN102" s="409"/>
      <c r="AO102" s="409"/>
      <c r="AP102" s="409"/>
      <c r="AQ102" s="409"/>
    </row>
    <row r="103" spans="20:43">
      <c r="T103" s="409"/>
      <c r="U103" s="409"/>
      <c r="V103" s="409"/>
      <c r="W103" s="409" t="s">
        <v>149</v>
      </c>
      <c r="X103" s="409">
        <f>IF($U$51=0,0,$U$51/$V$51)</f>
        <v>6.6553342184203626E-2</v>
      </c>
      <c r="Y103" s="409">
        <f>IF(V52=0,0,U52/V52)</f>
        <v>3.1960326331748931E-2</v>
      </c>
      <c r="Z103" s="409">
        <f>U52</f>
        <v>6.4996489679011251</v>
      </c>
      <c r="AA103" s="409">
        <f>$U$51</f>
        <v>7.9851582818351332</v>
      </c>
      <c r="AB103" s="409">
        <f t="shared" si="79"/>
        <v>-1.4855093139340081</v>
      </c>
      <c r="AC103" s="409">
        <f t="shared" si="80"/>
        <v>-3.4593015852454695E-2</v>
      </c>
      <c r="AD103" s="409">
        <f>IF(AC103=0,0,AB103/AC103)</f>
        <v>42.942463307332524</v>
      </c>
      <c r="AE103" s="409">
        <f t="shared" si="82"/>
        <v>5.1271938271096236</v>
      </c>
      <c r="AF103" s="409">
        <f t="shared" si="83"/>
        <v>42.942463307332524</v>
      </c>
      <c r="AG103" s="409">
        <f t="shared" si="84"/>
        <v>5.1271938271096236</v>
      </c>
      <c r="AH103" s="409">
        <f t="shared" si="85"/>
        <v>42.942463307332524</v>
      </c>
      <c r="AI103" s="409">
        <f>MIN(AH103:AH105)</f>
        <v>42.942463307332524</v>
      </c>
      <c r="AJ103" s="409">
        <f>MAX(AG103:AG105)</f>
        <v>5.1271938271096236</v>
      </c>
      <c r="AK103" s="409">
        <f>IF(OR(AI103=0,AJ103=0),"",VLOOKUP(AI103,AF103:AG105,2,FALSE))</f>
        <v>5.1271938271096236</v>
      </c>
      <c r="AL103" s="409" t="str">
        <f>IF(AJ103=AK103,"ok","fallo")</f>
        <v>ok</v>
      </c>
      <c r="AM103" s="409">
        <f>IF($AL$103="ok",IF(AI103&lt;0.5,0.5,AI103),"")</f>
        <v>42.942463307332524</v>
      </c>
      <c r="AN103" s="409">
        <f>IF($AL$103="ok",AJ103,"")</f>
        <v>5.1271938271096236</v>
      </c>
      <c r="AO103" s="409">
        <f>IF(AM103="","",(AM103*$F$26)+(AN103*$F$25))</f>
        <v>39992.997853570836</v>
      </c>
      <c r="AP103" s="409">
        <f>AM103</f>
        <v>42.942463307332524</v>
      </c>
      <c r="AQ103" s="409">
        <f>AN103</f>
        <v>5.1271938271096236</v>
      </c>
    </row>
    <row r="104" spans="20:43">
      <c r="T104" s="409"/>
      <c r="U104" s="409"/>
      <c r="V104" s="409"/>
      <c r="W104" s="409" t="s">
        <v>150</v>
      </c>
      <c r="X104" s="409">
        <f t="shared" ref="X104:X105" si="89">IF($U$51=0,0,$U$51/$V$51)</f>
        <v>6.6553342184203626E-2</v>
      </c>
      <c r="Y104" s="409">
        <f t="shared" ref="Y104:Y105" si="90">IF(V53=0,0,U53/V53)</f>
        <v>2.8267247122531796E-2</v>
      </c>
      <c r="Z104" s="409">
        <f>U53</f>
        <v>4.6026522410510067</v>
      </c>
      <c r="AA104" s="409">
        <f>$U$51</f>
        <v>7.9851582818351332</v>
      </c>
      <c r="AB104" s="409">
        <f t="shared" si="79"/>
        <v>-3.3825060407841265</v>
      </c>
      <c r="AC104" s="409">
        <f t="shared" si="80"/>
        <v>-3.8286095061671827E-2</v>
      </c>
      <c r="AD104" s="409">
        <f t="shared" ref="AD104:AD105" si="91">IF(AC104=0,0,AB104/AC104)</f>
        <v>88.348159699638586</v>
      </c>
      <c r="AE104" s="409">
        <f t="shared" si="82"/>
        <v>2.1052929780004179</v>
      </c>
      <c r="AF104" s="409">
        <f t="shared" si="83"/>
        <v>88.348159699638586</v>
      </c>
      <c r="AG104" s="409">
        <f t="shared" si="84"/>
        <v>2.1052929780004179</v>
      </c>
      <c r="AH104" s="409">
        <f t="shared" si="85"/>
        <v>88.348159699638586</v>
      </c>
      <c r="AI104" s="409"/>
      <c r="AJ104" s="409"/>
      <c r="AK104" s="409"/>
      <c r="AL104" s="409"/>
      <c r="AM104" s="409"/>
      <c r="AN104" s="409"/>
      <c r="AO104" s="409"/>
      <c r="AP104" s="409"/>
      <c r="AQ104" s="409"/>
    </row>
    <row r="105" spans="20:43">
      <c r="T105" s="409"/>
      <c r="U105" s="409"/>
      <c r="V105" s="409"/>
      <c r="W105" s="409" t="s">
        <v>151</v>
      </c>
      <c r="X105" s="409">
        <f t="shared" si="89"/>
        <v>6.6553342184203626E-2</v>
      </c>
      <c r="Y105" s="409">
        <f t="shared" si="90"/>
        <v>1.8708294187878879E-2</v>
      </c>
      <c r="Z105" s="409">
        <f>U54</f>
        <v>4.279695847811797</v>
      </c>
      <c r="AA105" s="409">
        <f>$U$51</f>
        <v>7.9851582818351332</v>
      </c>
      <c r="AB105" s="409">
        <f t="shared" si="79"/>
        <v>-3.7054624340233362</v>
      </c>
      <c r="AC105" s="409">
        <f t="shared" si="80"/>
        <v>-4.7845047996324747E-2</v>
      </c>
      <c r="AD105" s="409">
        <f t="shared" si="91"/>
        <v>77.447146344340041</v>
      </c>
      <c r="AE105" s="409">
        <f t="shared" si="82"/>
        <v>2.8307918499901756</v>
      </c>
      <c r="AF105" s="409">
        <f t="shared" si="83"/>
        <v>77.447146344340041</v>
      </c>
      <c r="AG105" s="409">
        <f t="shared" si="84"/>
        <v>2.8307918499901756</v>
      </c>
      <c r="AH105" s="409">
        <f t="shared" si="85"/>
        <v>77.447146344340041</v>
      </c>
      <c r="AI105" s="409"/>
      <c r="AJ105" s="409"/>
      <c r="AK105" s="409"/>
      <c r="AL105" s="409"/>
      <c r="AM105" s="409"/>
      <c r="AN105" s="409"/>
      <c r="AO105" s="409"/>
      <c r="AP105" s="409"/>
      <c r="AQ105" s="409"/>
    </row>
    <row r="106" spans="20:43">
      <c r="T106" s="409"/>
      <c r="U106" s="409"/>
      <c r="V106" s="409"/>
      <c r="W106" s="409" t="s">
        <v>152</v>
      </c>
      <c r="X106" s="409">
        <f>IF($U$52=0,0,$U$52/$V$52)</f>
        <v>3.1960326331748931E-2</v>
      </c>
      <c r="Y106" s="409">
        <f>IF(V53=0,0,U53/V53)</f>
        <v>2.8267247122531796E-2</v>
      </c>
      <c r="Z106" s="409">
        <f>U53</f>
        <v>4.6026522410510067</v>
      </c>
      <c r="AA106" s="409">
        <f>$U$52</f>
        <v>6.4996489679011251</v>
      </c>
      <c r="AB106" s="409">
        <f t="shared" si="79"/>
        <v>-1.8969967268501184</v>
      </c>
      <c r="AC106" s="409">
        <f t="shared" si="80"/>
        <v>-3.6930792092171351E-3</v>
      </c>
      <c r="AD106" s="409">
        <f>IF(AC106=0,0,AB106/AC106)</f>
        <v>513.66261576941554</v>
      </c>
      <c r="AE106" s="409">
        <f t="shared" si="82"/>
        <v>-9.917175856509159</v>
      </c>
      <c r="AF106" s="409">
        <f t="shared" si="83"/>
        <v>0</v>
      </c>
      <c r="AG106" s="409">
        <f t="shared" si="84"/>
        <v>0</v>
      </c>
      <c r="AH106" s="409" t="str">
        <f t="shared" si="85"/>
        <v/>
      </c>
      <c r="AI106" s="409">
        <f>MIN(AH106:AH107)</f>
        <v>167.51793958756767</v>
      </c>
      <c r="AJ106" s="409">
        <f>MAX(AG106:AG107)</f>
        <v>1.1457209522602598</v>
      </c>
      <c r="AK106" s="409">
        <f>IF(OR(AI106=0,AJ106=0),"",VLOOKUP(AI106,AF106:AG107,2,FALSE))</f>
        <v>1.1457209522602598</v>
      </c>
      <c r="AL106" s="409" t="str">
        <f>IF(AJ106=AK106,"ok","fallo")</f>
        <v>ok</v>
      </c>
      <c r="AM106" s="409">
        <f>IF($AL$106="ok",IF(AI106&lt;0.5,0.5,AI106),"")</f>
        <v>167.51793958756767</v>
      </c>
      <c r="AN106" s="409">
        <f>IF($AL$106="ok",AJ106,"")</f>
        <v>1.1457209522602598</v>
      </c>
      <c r="AO106" s="409">
        <f>IF(AM106="","",(AM106*$F$26)+(AN106*$F$25))</f>
        <v>72105.634072585221</v>
      </c>
      <c r="AP106" s="409">
        <f>AM106</f>
        <v>167.51793958756767</v>
      </c>
      <c r="AQ106" s="409">
        <f>AN106</f>
        <v>1.1457209522602598</v>
      </c>
    </row>
    <row r="107" spans="20:43">
      <c r="T107" s="409"/>
      <c r="U107" s="409"/>
      <c r="V107" s="409"/>
      <c r="W107" s="409" t="s">
        <v>153</v>
      </c>
      <c r="X107" s="409">
        <f>IF($U$52=0,0,$U$52/$V$52)</f>
        <v>3.1960326331748931E-2</v>
      </c>
      <c r="Y107" s="409">
        <f>IF(V54=0,0,U54/V54)</f>
        <v>1.8708294187878879E-2</v>
      </c>
      <c r="Z107" s="409">
        <f>U54</f>
        <v>4.279695847811797</v>
      </c>
      <c r="AA107" s="409">
        <f>$U$52</f>
        <v>6.4996489679011251</v>
      </c>
      <c r="AB107" s="409">
        <f t="shared" si="79"/>
        <v>-2.2199531200893281</v>
      </c>
      <c r="AC107" s="409">
        <f t="shared" si="80"/>
        <v>-1.3252032143870052E-2</v>
      </c>
      <c r="AD107" s="409">
        <f>IF(AC107=0,0,AB107/AC107)</f>
        <v>167.51793958756767</v>
      </c>
      <c r="AE107" s="409">
        <f t="shared" si="82"/>
        <v>1.1457209522602598</v>
      </c>
      <c r="AF107" s="409">
        <f t="shared" si="83"/>
        <v>167.51793958756767</v>
      </c>
      <c r="AG107" s="409">
        <f t="shared" si="84"/>
        <v>1.1457209522602598</v>
      </c>
      <c r="AH107" s="409">
        <f t="shared" si="85"/>
        <v>167.51793958756767</v>
      </c>
      <c r="AI107" s="409"/>
      <c r="AJ107" s="409"/>
      <c r="AK107" s="409"/>
      <c r="AL107" s="409"/>
      <c r="AM107" s="409"/>
      <c r="AN107" s="409"/>
      <c r="AO107" s="409"/>
      <c r="AP107" s="409"/>
      <c r="AQ107" s="409"/>
    </row>
    <row r="108" spans="20:43">
      <c r="T108" s="409"/>
      <c r="U108" s="409"/>
      <c r="V108" s="409"/>
      <c r="W108" s="409" t="s">
        <v>154</v>
      </c>
      <c r="X108" s="409">
        <f>IF(U53=0,0,U53/V53)</f>
        <v>2.8267247122531796E-2</v>
      </c>
      <c r="Y108" s="409">
        <f>IF(V54=0,0,U54/V54)</f>
        <v>1.8708294187878879E-2</v>
      </c>
      <c r="Z108" s="409">
        <f>U54</f>
        <v>4.279695847811797</v>
      </c>
      <c r="AA108" s="409">
        <f>$U$53</f>
        <v>4.6026522410510067</v>
      </c>
      <c r="AB108" s="409">
        <f t="shared" si="79"/>
        <v>-0.32295639323920966</v>
      </c>
      <c r="AC108" s="409">
        <f t="shared" si="80"/>
        <v>-9.5589529346529166E-3</v>
      </c>
      <c r="AD108" s="409">
        <f>IF(AC108=0,0,AB108/AC108)</f>
        <v>33.785749908699195</v>
      </c>
      <c r="AE108" s="409">
        <f t="shared" si="82"/>
        <v>3.6476220991617505</v>
      </c>
      <c r="AF108" s="409">
        <f t="shared" si="83"/>
        <v>33.785749908699195</v>
      </c>
      <c r="AG108" s="409">
        <f t="shared" si="84"/>
        <v>3.6476220991617505</v>
      </c>
      <c r="AH108" s="409">
        <f t="shared" si="85"/>
        <v>33.785749908699195</v>
      </c>
      <c r="AI108" s="409">
        <f>MIN(AH108)</f>
        <v>33.785749908699195</v>
      </c>
      <c r="AJ108" s="409">
        <f>MAX(AG108)</f>
        <v>3.6476220991617505</v>
      </c>
      <c r="AK108" s="409">
        <f>IF(OR(AI108=0,AJ108=0),"",VLOOKUP(AI108,AF108:AG108,2,FALSE))</f>
        <v>3.6476220991617505</v>
      </c>
      <c r="AL108" s="409" t="str">
        <f>IF(AJ108=AK108,"ok","fallo")</f>
        <v>ok</v>
      </c>
      <c r="AM108" s="409">
        <f>IF($AL$108="ok",IF(AI108&lt;0.5,0.5,AI108),"")</f>
        <v>33.785749908699195</v>
      </c>
      <c r="AN108" s="409">
        <f>IF($AL$108="ok",AJ108,"")</f>
        <v>3.6476220991617505</v>
      </c>
      <c r="AO108" s="409">
        <f>IF(AM108="","",(AM108*$F$26)+(AN108*$F$25))</f>
        <v>29746.218304749469</v>
      </c>
      <c r="AP108" s="409">
        <f>AM108</f>
        <v>33.785749908699195</v>
      </c>
      <c r="AQ108" s="409">
        <f>AN108</f>
        <v>3.6476220991617505</v>
      </c>
    </row>
    <row r="109" spans="20:43">
      <c r="T109" s="409"/>
      <c r="U109" s="409"/>
      <c r="V109" s="409"/>
      <c r="W109" s="409"/>
      <c r="X109" s="409"/>
      <c r="Y109" s="409"/>
      <c r="Z109" s="409"/>
      <c r="AA109" s="409"/>
      <c r="AB109" s="409"/>
      <c r="AC109" s="409"/>
      <c r="AD109" s="409"/>
      <c r="AE109" s="409"/>
      <c r="AF109" s="409"/>
      <c r="AG109" s="409"/>
      <c r="AH109" s="409"/>
      <c r="AI109" s="409"/>
      <c r="AJ109" s="409"/>
      <c r="AK109" s="409"/>
      <c r="AL109" s="409"/>
      <c r="AM109" s="409"/>
      <c r="AN109" s="409"/>
      <c r="AO109" s="409"/>
      <c r="AP109" s="409"/>
      <c r="AQ109" s="409"/>
    </row>
    <row r="110" spans="20:43">
      <c r="T110" s="409"/>
      <c r="U110" s="409"/>
      <c r="V110" s="409"/>
      <c r="W110" s="409"/>
      <c r="X110" s="409"/>
      <c r="Y110" s="409"/>
      <c r="Z110" s="409"/>
      <c r="AA110" s="409"/>
      <c r="AB110" s="409"/>
      <c r="AC110" s="409"/>
      <c r="AD110" s="409"/>
      <c r="AE110" s="409"/>
      <c r="AF110" s="409"/>
      <c r="AG110" s="409"/>
      <c r="AH110" s="409"/>
      <c r="AI110" s="409"/>
      <c r="AJ110" s="409"/>
      <c r="AK110" s="409"/>
      <c r="AL110" s="409"/>
      <c r="AM110" s="409"/>
      <c r="AN110" s="409"/>
      <c r="AO110" s="409"/>
      <c r="AP110" s="409"/>
      <c r="AQ110" s="409"/>
    </row>
    <row r="111" spans="20:43">
      <c r="T111" s="409"/>
      <c r="U111" s="409"/>
      <c r="V111" s="409">
        <f>'Ángulo de Inclinación'!H26</f>
        <v>19</v>
      </c>
      <c r="W111" s="409">
        <f>'Ángulo de Inclinación'!G28</f>
        <v>5.4182414820366018</v>
      </c>
      <c r="X111" s="409"/>
      <c r="Y111" s="409"/>
      <c r="Z111" s="409"/>
      <c r="AA111" s="409"/>
      <c r="AB111" s="409"/>
      <c r="AC111" s="409"/>
      <c r="AD111" s="409"/>
      <c r="AE111" s="409"/>
      <c r="AF111" s="409"/>
      <c r="AG111" s="409"/>
      <c r="AH111" s="409"/>
      <c r="AI111" s="409"/>
      <c r="AJ111" s="409"/>
      <c r="AK111" s="409"/>
      <c r="AL111" s="409"/>
      <c r="AM111" s="409"/>
      <c r="AN111" s="409"/>
      <c r="AO111" s="409"/>
      <c r="AP111" s="409"/>
      <c r="AQ111" s="409"/>
    </row>
    <row r="112" spans="20:43">
      <c r="T112" s="409"/>
      <c r="U112" s="409"/>
      <c r="V112" s="409"/>
      <c r="W112" s="409">
        <f>'Ángulo de Inclinación'!G29</f>
        <v>5.2241470882657488</v>
      </c>
      <c r="X112" s="409"/>
      <c r="Y112" s="409"/>
      <c r="Z112" s="409"/>
      <c r="AA112" s="409"/>
      <c r="AB112" s="409"/>
      <c r="AC112" s="409"/>
      <c r="AD112" s="409"/>
      <c r="AE112" s="409"/>
      <c r="AF112" s="409"/>
      <c r="AG112" s="409"/>
      <c r="AH112" s="409"/>
      <c r="AI112" s="409"/>
      <c r="AJ112" s="409"/>
      <c r="AK112" s="409"/>
      <c r="AL112" s="409"/>
      <c r="AM112" s="409"/>
      <c r="AN112" s="409"/>
      <c r="AO112" s="409"/>
      <c r="AP112" s="409"/>
      <c r="AQ112" s="409"/>
    </row>
    <row r="113" spans="20:43">
      <c r="T113" s="409"/>
      <c r="U113" s="409"/>
      <c r="V113" s="409"/>
      <c r="W113" s="409">
        <f>'Ángulo de Inclinación'!G30</f>
        <v>3.7863889672700011</v>
      </c>
      <c r="X113" s="409"/>
      <c r="Y113" s="409"/>
      <c r="Z113" s="409"/>
      <c r="AA113" s="409"/>
      <c r="AB113" s="409"/>
      <c r="AC113" s="409"/>
      <c r="AD113" s="409"/>
      <c r="AE113" s="409"/>
      <c r="AF113" s="409"/>
      <c r="AG113" s="409"/>
      <c r="AH113" s="409"/>
      <c r="AI113" s="409"/>
      <c r="AJ113" s="409"/>
      <c r="AK113" s="409"/>
      <c r="AL113" s="409"/>
      <c r="AM113" s="409"/>
      <c r="AN113" s="409"/>
      <c r="AO113" s="409"/>
      <c r="AP113" s="409"/>
      <c r="AQ113" s="409"/>
    </row>
    <row r="114" spans="20:43">
      <c r="T114" s="409"/>
      <c r="U114" s="409"/>
      <c r="V114" s="409"/>
      <c r="W114" s="409">
        <f>'Ángulo de Inclinación'!G31</f>
        <v>2.4673818877722957</v>
      </c>
      <c r="X114" s="409"/>
      <c r="Y114" s="409"/>
      <c r="Z114" s="409"/>
      <c r="AA114" s="409"/>
      <c r="AB114" s="409"/>
      <c r="AC114" s="409"/>
      <c r="AD114" s="409"/>
      <c r="AE114" s="409"/>
      <c r="AF114" s="409"/>
      <c r="AG114" s="409"/>
      <c r="AH114" s="409"/>
      <c r="AI114" s="409"/>
      <c r="AJ114" s="409"/>
      <c r="AK114" s="409"/>
      <c r="AL114" s="409"/>
      <c r="AM114" s="409"/>
      <c r="AN114" s="409"/>
      <c r="AO114" s="409"/>
      <c r="AP114" s="409"/>
      <c r="AQ114" s="409"/>
    </row>
    <row r="115" spans="20:43">
      <c r="T115" s="409"/>
      <c r="U115" s="409"/>
      <c r="V115" s="409"/>
      <c r="W115" s="409">
        <f>'Ángulo de Inclinación'!G32</f>
        <v>1.5604596553326406</v>
      </c>
      <c r="X115" s="409"/>
      <c r="Y115" s="409"/>
      <c r="Z115" s="409"/>
      <c r="AA115" s="409"/>
      <c r="AB115" s="409"/>
      <c r="AC115" s="409"/>
      <c r="AD115" s="409"/>
      <c r="AE115" s="409"/>
      <c r="AF115" s="409"/>
      <c r="AG115" s="409"/>
      <c r="AH115" s="409"/>
      <c r="AI115" s="409"/>
      <c r="AJ115" s="409"/>
      <c r="AK115" s="409"/>
      <c r="AL115" s="409"/>
      <c r="AM115" s="409"/>
      <c r="AN115" s="409"/>
      <c r="AO115" s="409"/>
      <c r="AP115" s="409"/>
      <c r="AQ115" s="409"/>
    </row>
    <row r="116" spans="20:43">
      <c r="T116" s="409"/>
      <c r="U116" s="409"/>
      <c r="V116" s="409"/>
      <c r="W116" s="409">
        <f>'Ángulo de Inclinación'!G33</f>
        <v>1.256903900599277</v>
      </c>
      <c r="X116" s="409"/>
      <c r="Y116" s="409"/>
      <c r="Z116" s="409"/>
      <c r="AA116" s="409"/>
      <c r="AB116" s="409"/>
      <c r="AC116" s="409"/>
      <c r="AD116" s="409"/>
      <c r="AE116" s="409"/>
      <c r="AF116" s="409"/>
      <c r="AG116" s="409"/>
      <c r="AH116" s="409"/>
      <c r="AI116" s="409"/>
      <c r="AJ116" s="409"/>
      <c r="AK116" s="409"/>
      <c r="AL116" s="409"/>
      <c r="AM116" s="409"/>
      <c r="AN116" s="409"/>
      <c r="AO116" s="409"/>
      <c r="AP116" s="409"/>
      <c r="AQ116" s="409"/>
    </row>
    <row r="117" spans="20:43">
      <c r="T117" s="409"/>
      <c r="U117" s="409"/>
      <c r="V117" s="409"/>
      <c r="W117" s="409">
        <f>'Ángulo de Inclinación'!G34</f>
        <v>1.4225926283465842</v>
      </c>
      <c r="X117" s="409"/>
      <c r="Y117" s="409"/>
      <c r="Z117" s="409"/>
      <c r="AA117" s="409"/>
      <c r="AB117" s="409"/>
      <c r="AC117" s="409"/>
      <c r="AD117" s="409"/>
      <c r="AE117" s="409"/>
      <c r="AF117" s="409"/>
      <c r="AG117" s="409"/>
      <c r="AH117" s="409"/>
      <c r="AI117" s="409"/>
      <c r="AJ117" s="409"/>
      <c r="AK117" s="409"/>
      <c r="AL117" s="409"/>
      <c r="AM117" s="409"/>
      <c r="AN117" s="409"/>
      <c r="AO117" s="409"/>
      <c r="AP117" s="409"/>
      <c r="AQ117" s="409"/>
    </row>
    <row r="118" spans="20:43">
      <c r="T118" s="409"/>
      <c r="U118" s="409"/>
      <c r="V118" s="409"/>
      <c r="W118" s="409">
        <f>'Ángulo de Inclinación'!G35</f>
        <v>2.1208151308674936</v>
      </c>
      <c r="X118" s="409"/>
      <c r="Y118" s="409"/>
      <c r="Z118" s="409"/>
      <c r="AA118" s="409"/>
      <c r="AB118" s="409"/>
      <c r="AC118" s="409"/>
      <c r="AD118" s="409"/>
      <c r="AE118" s="409"/>
      <c r="AF118" s="409"/>
      <c r="AG118" s="409"/>
      <c r="AH118" s="409"/>
      <c r="AI118" s="409"/>
      <c r="AJ118" s="409"/>
      <c r="AK118" s="409"/>
      <c r="AL118" s="409"/>
      <c r="AM118" s="409"/>
      <c r="AN118" s="409"/>
      <c r="AO118" s="409"/>
      <c r="AP118" s="409"/>
      <c r="AQ118" s="409"/>
    </row>
    <row r="119" spans="20:43">
      <c r="T119" s="409"/>
      <c r="U119" s="409"/>
      <c r="V119" s="409"/>
      <c r="W119" s="409">
        <f>'Ángulo de Inclinación'!G36</f>
        <v>3.2685895478845977</v>
      </c>
      <c r="X119" s="409"/>
      <c r="Y119" s="409"/>
      <c r="Z119" s="409"/>
      <c r="AA119" s="409"/>
      <c r="AB119" s="409"/>
      <c r="AC119" s="409"/>
      <c r="AD119" s="409"/>
      <c r="AE119" s="409"/>
      <c r="AF119" s="409"/>
      <c r="AG119" s="409"/>
      <c r="AH119" s="409"/>
      <c r="AI119" s="409"/>
      <c r="AJ119" s="409"/>
      <c r="AK119" s="409"/>
      <c r="AL119" s="409"/>
      <c r="AM119" s="409"/>
      <c r="AN119" s="409"/>
      <c r="AO119" s="409"/>
      <c r="AP119" s="409"/>
      <c r="AQ119" s="409"/>
    </row>
    <row r="120" spans="20:43">
      <c r="T120" s="409"/>
      <c r="U120" s="409"/>
      <c r="V120" s="409"/>
      <c r="W120" s="409">
        <f>'Ángulo de Inclinación'!G37</f>
        <v>4.0156330021986957</v>
      </c>
      <c r="X120" s="409"/>
      <c r="Y120" s="409"/>
      <c r="Z120" s="409"/>
      <c r="AA120" s="409"/>
      <c r="AB120" s="409"/>
      <c r="AC120" s="409"/>
      <c r="AD120" s="409"/>
      <c r="AE120" s="409"/>
      <c r="AF120" s="409"/>
      <c r="AG120" s="409"/>
      <c r="AH120" s="409"/>
      <c r="AI120" s="409"/>
      <c r="AJ120" s="409"/>
      <c r="AK120" s="409"/>
      <c r="AL120" s="409"/>
      <c r="AM120" s="409"/>
      <c r="AN120" s="409"/>
      <c r="AO120" s="409"/>
      <c r="AP120" s="409"/>
      <c r="AQ120" s="409"/>
    </row>
    <row r="121" spans="20:43">
      <c r="T121" s="409"/>
      <c r="U121" s="409"/>
      <c r="V121" s="409"/>
      <c r="W121" s="409">
        <f>'Ángulo de Inclinación'!G38</f>
        <v>5.6706880144936864</v>
      </c>
      <c r="X121" s="409"/>
      <c r="Y121" s="409"/>
      <c r="Z121" s="409"/>
      <c r="AA121" s="409"/>
      <c r="AB121" s="409"/>
      <c r="AC121" s="409"/>
      <c r="AD121" s="409"/>
      <c r="AE121" s="409"/>
      <c r="AF121" s="409"/>
      <c r="AG121" s="409"/>
      <c r="AH121" s="409"/>
      <c r="AI121" s="409"/>
      <c r="AJ121" s="409"/>
      <c r="AK121" s="409"/>
      <c r="AL121" s="409"/>
      <c r="AM121" s="409"/>
      <c r="AN121" s="409"/>
      <c r="AO121" s="409"/>
      <c r="AP121" s="409"/>
      <c r="AQ121" s="409"/>
    </row>
    <row r="122" spans="20:43">
      <c r="T122" s="409"/>
      <c r="U122" s="409"/>
      <c r="V122" s="409"/>
      <c r="W122" s="409">
        <f>'Ángulo de Inclinación'!G39</f>
        <v>6.098612103838045</v>
      </c>
      <c r="X122" s="409"/>
      <c r="Y122" s="409"/>
      <c r="Z122" s="409"/>
      <c r="AA122" s="409"/>
      <c r="AB122" s="409"/>
      <c r="AC122" s="409"/>
      <c r="AD122" s="409"/>
      <c r="AE122" s="409"/>
      <c r="AF122" s="409"/>
      <c r="AG122" s="409"/>
      <c r="AH122" s="409"/>
      <c r="AI122" s="409"/>
      <c r="AJ122" s="409"/>
      <c r="AK122" s="409"/>
      <c r="AL122" s="409"/>
      <c r="AM122" s="409"/>
      <c r="AN122" s="409"/>
      <c r="AO122" s="409"/>
      <c r="AP122" s="409"/>
      <c r="AQ122" s="409"/>
    </row>
    <row r="123" spans="20:43">
      <c r="T123" s="409"/>
      <c r="U123" s="409"/>
      <c r="V123" s="409"/>
      <c r="W123" s="409"/>
      <c r="X123" s="409"/>
      <c r="Y123" s="409"/>
      <c r="Z123" s="409"/>
      <c r="AA123" s="409"/>
      <c r="AB123" s="409"/>
      <c r="AC123" s="409"/>
      <c r="AD123" s="409"/>
      <c r="AE123" s="409"/>
      <c r="AF123" s="409"/>
      <c r="AG123" s="409"/>
      <c r="AH123" s="409"/>
      <c r="AI123" s="409"/>
      <c r="AJ123" s="409"/>
      <c r="AK123" s="409"/>
      <c r="AL123" s="409"/>
      <c r="AM123" s="409"/>
      <c r="AN123" s="409"/>
      <c r="AO123" s="409"/>
      <c r="AP123" s="409"/>
      <c r="AQ123" s="409"/>
    </row>
    <row r="124" spans="20:43">
      <c r="T124" s="409"/>
      <c r="U124" s="409"/>
      <c r="V124" s="409"/>
      <c r="W124" s="409"/>
      <c r="X124" s="409"/>
      <c r="Y124" s="409"/>
      <c r="Z124" s="409"/>
      <c r="AA124" s="409"/>
      <c r="AB124" s="409"/>
      <c r="AC124" s="409"/>
      <c r="AD124" s="409"/>
      <c r="AE124" s="409"/>
      <c r="AF124" s="409"/>
      <c r="AG124" s="409"/>
      <c r="AH124" s="409"/>
      <c r="AI124" s="409"/>
      <c r="AJ124" s="409"/>
      <c r="AK124" s="409"/>
      <c r="AL124" s="409"/>
      <c r="AM124" s="409"/>
      <c r="AN124" s="409"/>
      <c r="AO124" s="409"/>
      <c r="AP124" s="409"/>
      <c r="AQ124" s="409"/>
    </row>
    <row r="125" spans="20:43">
      <c r="T125" s="409"/>
      <c r="U125" s="409"/>
      <c r="V125" s="409"/>
      <c r="W125" s="409"/>
      <c r="X125" s="409"/>
      <c r="Y125" s="409"/>
      <c r="Z125" s="409"/>
      <c r="AA125" s="409"/>
      <c r="AB125" s="409"/>
      <c r="AC125" s="409"/>
      <c r="AD125" s="409"/>
      <c r="AE125" s="409"/>
      <c r="AF125" s="409"/>
      <c r="AG125" s="409"/>
      <c r="AH125" s="409"/>
      <c r="AI125" s="409"/>
      <c r="AJ125" s="409"/>
      <c r="AK125" s="409"/>
      <c r="AL125" s="409"/>
      <c r="AM125" s="409"/>
      <c r="AN125" s="409"/>
      <c r="AO125" s="409"/>
      <c r="AP125" s="409"/>
      <c r="AQ125" s="409"/>
    </row>
    <row r="126" spans="20:43">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row>
    <row r="127" spans="20:43">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row>
    <row r="128" spans="20:43">
      <c r="T128" s="409"/>
      <c r="U128" s="409"/>
      <c r="V128" s="409"/>
      <c r="W128" s="409"/>
      <c r="X128" s="409"/>
      <c r="Y128" s="409"/>
      <c r="Z128" s="409"/>
      <c r="AA128" s="409"/>
      <c r="AB128" s="409"/>
      <c r="AC128" s="409"/>
      <c r="AD128" s="409"/>
      <c r="AE128" s="409"/>
      <c r="AF128" s="409"/>
      <c r="AG128" s="409"/>
      <c r="AH128" s="409"/>
      <c r="AI128" s="409"/>
      <c r="AJ128" s="409"/>
      <c r="AK128" s="409"/>
      <c r="AL128" s="409"/>
      <c r="AM128" s="409"/>
      <c r="AN128" s="409"/>
      <c r="AO128" s="409"/>
      <c r="AP128" s="409"/>
      <c r="AQ128" s="409"/>
    </row>
    <row r="129" spans="20:43">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row>
    <row r="130" spans="20:43">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row>
    <row r="131" spans="20:43">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row>
    <row r="132" spans="20:43">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row>
    <row r="133" spans="20:43">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row>
    <row r="134" spans="20:43">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row>
    <row r="135" spans="20:43">
      <c r="T135" s="409"/>
      <c r="U135" s="409"/>
      <c r="V135" s="409"/>
      <c r="W135" s="409"/>
      <c r="X135" s="409"/>
      <c r="Y135" s="409"/>
      <c r="Z135" s="409"/>
      <c r="AA135" s="409"/>
      <c r="AB135" s="409"/>
      <c r="AC135" s="409"/>
      <c r="AD135" s="409"/>
      <c r="AE135" s="409"/>
      <c r="AF135" s="409"/>
      <c r="AG135" s="409"/>
      <c r="AH135" s="409"/>
      <c r="AI135" s="409"/>
      <c r="AJ135" s="409"/>
      <c r="AK135" s="409"/>
      <c r="AL135" s="409"/>
      <c r="AM135" s="409"/>
      <c r="AN135" s="409"/>
      <c r="AO135" s="409"/>
      <c r="AP135" s="409"/>
      <c r="AQ135" s="409"/>
    </row>
    <row r="136" spans="20:43">
      <c r="T136" s="409"/>
      <c r="U136" s="409"/>
      <c r="V136" s="409"/>
      <c r="W136" s="409"/>
      <c r="X136" s="409"/>
      <c r="Y136" s="409"/>
      <c r="Z136" s="409"/>
      <c r="AA136" s="409"/>
      <c r="AB136" s="409"/>
      <c r="AC136" s="409"/>
      <c r="AD136" s="409"/>
      <c r="AE136" s="409"/>
      <c r="AF136" s="409"/>
      <c r="AG136" s="409"/>
      <c r="AH136" s="409"/>
      <c r="AI136" s="409"/>
      <c r="AJ136" s="409"/>
      <c r="AK136" s="409"/>
      <c r="AL136" s="409"/>
      <c r="AM136" s="409"/>
      <c r="AN136" s="409"/>
      <c r="AO136" s="409"/>
      <c r="AP136" s="409"/>
      <c r="AQ136" s="409"/>
    </row>
    <row r="137" spans="20:43">
      <c r="T137" s="409"/>
      <c r="U137" s="409"/>
      <c r="V137" s="409"/>
      <c r="W137" s="409"/>
      <c r="X137" s="409"/>
      <c r="Y137" s="409"/>
      <c r="Z137" s="409"/>
      <c r="AA137" s="409"/>
      <c r="AB137" s="409"/>
      <c r="AC137" s="409"/>
      <c r="AD137" s="409"/>
      <c r="AE137" s="409"/>
      <c r="AF137" s="409"/>
      <c r="AG137" s="409"/>
      <c r="AH137" s="409"/>
      <c r="AI137" s="409"/>
      <c r="AJ137" s="409"/>
      <c r="AK137" s="409"/>
      <c r="AL137" s="409"/>
      <c r="AM137" s="409"/>
      <c r="AN137" s="409"/>
      <c r="AO137" s="409"/>
      <c r="AP137" s="409"/>
      <c r="AQ137" s="409"/>
    </row>
    <row r="138" spans="20:43">
      <c r="T138" s="409"/>
      <c r="U138" s="409"/>
      <c r="V138" s="409"/>
      <c r="W138" s="409"/>
      <c r="X138" s="409"/>
      <c r="Y138" s="409"/>
      <c r="Z138" s="409"/>
      <c r="AA138" s="409"/>
      <c r="AB138" s="409"/>
      <c r="AC138" s="409"/>
      <c r="AD138" s="409"/>
      <c r="AE138" s="409"/>
      <c r="AF138" s="409"/>
      <c r="AG138" s="409"/>
      <c r="AH138" s="409"/>
      <c r="AI138" s="409"/>
      <c r="AJ138" s="409"/>
      <c r="AK138" s="409"/>
      <c r="AL138" s="409"/>
      <c r="AM138" s="409"/>
      <c r="AN138" s="409"/>
      <c r="AO138" s="409"/>
      <c r="AP138" s="409"/>
      <c r="AQ138" s="409"/>
    </row>
    <row r="139" spans="20:43">
      <c r="T139" s="409"/>
      <c r="U139" s="409"/>
      <c r="V139" s="409"/>
      <c r="W139" s="409"/>
      <c r="X139" s="409"/>
      <c r="Y139" s="409"/>
      <c r="Z139" s="409"/>
      <c r="AA139" s="409"/>
      <c r="AB139" s="409"/>
      <c r="AC139" s="409"/>
      <c r="AD139" s="409"/>
      <c r="AE139" s="409"/>
      <c r="AF139" s="409"/>
      <c r="AG139" s="409"/>
      <c r="AH139" s="409"/>
      <c r="AI139" s="409"/>
      <c r="AJ139" s="409"/>
      <c r="AK139" s="409"/>
      <c r="AL139" s="409"/>
      <c r="AM139" s="409"/>
      <c r="AN139" s="409"/>
      <c r="AO139" s="409"/>
      <c r="AP139" s="409"/>
      <c r="AQ139" s="409"/>
    </row>
    <row r="140" spans="20:43">
      <c r="T140" s="409"/>
      <c r="U140" s="409"/>
      <c r="V140" s="409"/>
      <c r="W140" s="409"/>
      <c r="X140" s="409"/>
      <c r="Y140" s="409"/>
      <c r="Z140" s="409"/>
      <c r="AA140" s="409"/>
      <c r="AB140" s="409"/>
      <c r="AC140" s="409"/>
      <c r="AD140" s="409"/>
      <c r="AE140" s="409"/>
      <c r="AF140" s="409"/>
      <c r="AG140" s="409"/>
      <c r="AH140" s="409"/>
      <c r="AI140" s="409"/>
      <c r="AJ140" s="409"/>
      <c r="AK140" s="409"/>
      <c r="AL140" s="409"/>
      <c r="AM140" s="409"/>
      <c r="AN140" s="409"/>
      <c r="AO140" s="409"/>
      <c r="AP140" s="409"/>
      <c r="AQ140" s="409"/>
    </row>
    <row r="141" spans="20:43">
      <c r="T141" s="409"/>
      <c r="U141" s="409"/>
      <c r="V141" s="409"/>
      <c r="W141" s="409"/>
      <c r="X141" s="409"/>
      <c r="Y141" s="409"/>
      <c r="Z141" s="409"/>
      <c r="AA141" s="409"/>
      <c r="AB141" s="409"/>
      <c r="AC141" s="409"/>
      <c r="AD141" s="409"/>
      <c r="AE141" s="409"/>
      <c r="AF141" s="409"/>
      <c r="AG141" s="409"/>
      <c r="AH141" s="409"/>
      <c r="AI141" s="409"/>
      <c r="AJ141" s="409"/>
      <c r="AK141" s="409"/>
      <c r="AL141" s="409"/>
      <c r="AM141" s="409"/>
      <c r="AN141" s="409"/>
      <c r="AO141" s="409"/>
      <c r="AP141" s="409"/>
      <c r="AQ141" s="409"/>
    </row>
    <row r="142" spans="20:43">
      <c r="T142" s="409"/>
      <c r="U142" s="409"/>
      <c r="V142" s="409"/>
      <c r="W142" s="409"/>
      <c r="X142" s="409"/>
      <c r="Y142" s="409"/>
      <c r="Z142" s="409"/>
      <c r="AA142" s="409"/>
      <c r="AB142" s="409"/>
      <c r="AC142" s="409"/>
      <c r="AD142" s="409"/>
      <c r="AE142" s="409"/>
      <c r="AF142" s="409"/>
      <c r="AG142" s="409"/>
      <c r="AH142" s="409"/>
      <c r="AI142" s="409"/>
      <c r="AJ142" s="409"/>
      <c r="AK142" s="409"/>
      <c r="AL142" s="409"/>
      <c r="AM142" s="409"/>
      <c r="AN142" s="409"/>
      <c r="AO142" s="409"/>
      <c r="AP142" s="409"/>
      <c r="AQ142" s="409"/>
    </row>
    <row r="143" spans="20:43">
      <c r="T143" s="409"/>
      <c r="U143" s="409"/>
      <c r="V143" s="409"/>
      <c r="W143" s="409"/>
      <c r="X143" s="409"/>
      <c r="Y143" s="409"/>
      <c r="Z143" s="409"/>
      <c r="AA143" s="409"/>
      <c r="AB143" s="409"/>
      <c r="AC143" s="409"/>
      <c r="AD143" s="409"/>
      <c r="AE143" s="409"/>
      <c r="AF143" s="409"/>
      <c r="AG143" s="409"/>
      <c r="AH143" s="409"/>
      <c r="AI143" s="409"/>
      <c r="AJ143" s="409"/>
      <c r="AK143" s="409"/>
      <c r="AL143" s="409"/>
      <c r="AM143" s="409"/>
      <c r="AN143" s="409"/>
      <c r="AO143" s="409"/>
      <c r="AP143" s="409"/>
      <c r="AQ143" s="409"/>
    </row>
    <row r="144" spans="20:43">
      <c r="T144" s="409"/>
      <c r="U144" s="409"/>
      <c r="V144" s="409"/>
      <c r="W144" s="409"/>
      <c r="X144" s="409"/>
      <c r="Y144" s="409"/>
      <c r="Z144" s="409"/>
      <c r="AA144" s="409"/>
      <c r="AB144" s="409"/>
      <c r="AC144" s="409"/>
      <c r="AD144" s="409"/>
      <c r="AE144" s="409"/>
      <c r="AF144" s="409"/>
      <c r="AG144" s="409"/>
      <c r="AH144" s="409"/>
      <c r="AI144" s="409"/>
      <c r="AJ144" s="409"/>
      <c r="AK144" s="409"/>
      <c r="AL144" s="409"/>
      <c r="AM144" s="409"/>
      <c r="AN144" s="409"/>
      <c r="AO144" s="409"/>
      <c r="AP144" s="409"/>
      <c r="AQ144" s="409"/>
    </row>
    <row r="145" spans="20:43">
      <c r="T145" s="409"/>
      <c r="U145" s="409"/>
      <c r="V145" s="409"/>
      <c r="W145" s="409"/>
      <c r="X145" s="409"/>
      <c r="Y145" s="409"/>
      <c r="Z145" s="409"/>
      <c r="AA145" s="409"/>
      <c r="AB145" s="409"/>
      <c r="AC145" s="409"/>
      <c r="AD145" s="409"/>
      <c r="AE145" s="409"/>
      <c r="AF145" s="409"/>
      <c r="AG145" s="409"/>
      <c r="AH145" s="409"/>
      <c r="AI145" s="409"/>
      <c r="AJ145" s="409"/>
      <c r="AK145" s="409"/>
      <c r="AL145" s="409"/>
      <c r="AM145" s="409"/>
      <c r="AN145" s="409"/>
      <c r="AO145" s="409"/>
      <c r="AP145" s="409"/>
      <c r="AQ145" s="409"/>
    </row>
    <row r="146" spans="20:43">
      <c r="T146" s="409"/>
      <c r="U146" s="409"/>
      <c r="V146" s="409"/>
      <c r="W146" s="409"/>
      <c r="X146" s="409"/>
      <c r="Y146" s="409"/>
      <c r="Z146" s="409"/>
      <c r="AA146" s="409"/>
      <c r="AB146" s="409"/>
      <c r="AC146" s="409"/>
      <c r="AD146" s="409"/>
      <c r="AE146" s="409"/>
      <c r="AF146" s="409"/>
      <c r="AG146" s="409"/>
      <c r="AH146" s="409"/>
      <c r="AI146" s="409"/>
      <c r="AJ146" s="409"/>
      <c r="AK146" s="409"/>
      <c r="AL146" s="409"/>
      <c r="AM146" s="409"/>
      <c r="AN146" s="409"/>
      <c r="AO146" s="409"/>
      <c r="AP146" s="409"/>
      <c r="AQ146" s="409"/>
    </row>
    <row r="147" spans="20:43">
      <c r="T147" s="409"/>
      <c r="U147" s="409"/>
      <c r="V147" s="409"/>
      <c r="W147" s="409"/>
      <c r="X147" s="409"/>
      <c r="Y147" s="409"/>
      <c r="Z147" s="409"/>
      <c r="AA147" s="409"/>
      <c r="AB147" s="409"/>
      <c r="AC147" s="409"/>
      <c r="AD147" s="409"/>
      <c r="AE147" s="409"/>
      <c r="AF147" s="409"/>
      <c r="AG147" s="409"/>
      <c r="AH147" s="409"/>
      <c r="AI147" s="409"/>
      <c r="AJ147" s="409"/>
      <c r="AK147" s="409"/>
      <c r="AL147" s="409"/>
      <c r="AM147" s="409"/>
      <c r="AN147" s="409"/>
      <c r="AO147" s="409"/>
      <c r="AP147" s="409"/>
      <c r="AQ147" s="409"/>
    </row>
    <row r="148" spans="20:43">
      <c r="T148" s="409"/>
      <c r="U148" s="409"/>
      <c r="V148" s="409"/>
      <c r="W148" s="409"/>
      <c r="X148" s="409"/>
      <c r="Y148" s="409"/>
      <c r="Z148" s="409"/>
      <c r="AA148" s="409"/>
      <c r="AB148" s="409"/>
      <c r="AC148" s="409"/>
      <c r="AD148" s="409"/>
      <c r="AE148" s="409"/>
      <c r="AF148" s="409"/>
      <c r="AG148" s="409"/>
      <c r="AH148" s="409"/>
      <c r="AI148" s="409"/>
      <c r="AJ148" s="409"/>
      <c r="AK148" s="409"/>
      <c r="AL148" s="409"/>
      <c r="AM148" s="409"/>
      <c r="AN148" s="409"/>
      <c r="AO148" s="409"/>
      <c r="AP148" s="409"/>
      <c r="AQ148" s="409"/>
    </row>
    <row r="149" spans="20:43">
      <c r="T149" s="409"/>
      <c r="U149" s="409"/>
      <c r="V149" s="409"/>
      <c r="W149" s="409"/>
      <c r="X149" s="409"/>
      <c r="Y149" s="409"/>
      <c r="Z149" s="409"/>
      <c r="AA149" s="409"/>
      <c r="AB149" s="409"/>
      <c r="AC149" s="409"/>
      <c r="AD149" s="409"/>
      <c r="AE149" s="409"/>
      <c r="AF149" s="409"/>
      <c r="AG149" s="409"/>
      <c r="AH149" s="409"/>
      <c r="AI149" s="409"/>
      <c r="AJ149" s="409"/>
      <c r="AK149" s="409"/>
      <c r="AL149" s="409"/>
      <c r="AM149" s="409"/>
      <c r="AN149" s="409"/>
      <c r="AO149" s="409"/>
      <c r="AP149" s="409"/>
      <c r="AQ149" s="409"/>
    </row>
    <row r="150" spans="20:43">
      <c r="T150" s="409"/>
      <c r="U150" s="409"/>
      <c r="V150" s="409"/>
      <c r="W150" s="409"/>
      <c r="X150" s="409"/>
      <c r="Y150" s="409"/>
      <c r="Z150" s="409"/>
      <c r="AA150" s="409"/>
      <c r="AB150" s="409"/>
      <c r="AC150" s="409"/>
      <c r="AD150" s="409"/>
      <c r="AE150" s="409"/>
      <c r="AF150" s="409"/>
      <c r="AG150" s="409"/>
      <c r="AH150" s="409"/>
      <c r="AI150" s="409"/>
      <c r="AJ150" s="409"/>
      <c r="AK150" s="409"/>
      <c r="AL150" s="409"/>
      <c r="AM150" s="409"/>
      <c r="AN150" s="409"/>
      <c r="AO150" s="409"/>
      <c r="AP150" s="409"/>
      <c r="AQ150" s="409"/>
    </row>
    <row r="151" spans="20:43">
      <c r="T151" s="409"/>
      <c r="U151" s="409"/>
      <c r="V151" s="409"/>
      <c r="W151" s="409"/>
      <c r="X151" s="409"/>
      <c r="Y151" s="409"/>
      <c r="Z151" s="409"/>
      <c r="AA151" s="409"/>
      <c r="AB151" s="409"/>
      <c r="AC151" s="409"/>
      <c r="AD151" s="409"/>
      <c r="AE151" s="409"/>
      <c r="AF151" s="409"/>
      <c r="AG151" s="409"/>
      <c r="AH151" s="409"/>
      <c r="AI151" s="409"/>
      <c r="AJ151" s="409"/>
      <c r="AK151" s="409"/>
      <c r="AL151" s="409"/>
      <c r="AM151" s="409"/>
      <c r="AN151" s="409"/>
      <c r="AO151" s="409"/>
      <c r="AP151" s="409"/>
      <c r="AQ151" s="409"/>
    </row>
    <row r="152" spans="20:43">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09"/>
    </row>
    <row r="153" spans="20:43">
      <c r="T153" s="409"/>
      <c r="U153" s="409"/>
      <c r="V153" s="409"/>
      <c r="W153" s="409"/>
      <c r="X153" s="409"/>
      <c r="Y153" s="409"/>
      <c r="Z153" s="409"/>
      <c r="AA153" s="409"/>
      <c r="AB153" s="409"/>
      <c r="AC153" s="409"/>
      <c r="AD153" s="409"/>
      <c r="AE153" s="409"/>
      <c r="AF153" s="409"/>
      <c r="AG153" s="409"/>
      <c r="AH153" s="409"/>
      <c r="AI153" s="409"/>
      <c r="AJ153" s="409"/>
      <c r="AK153" s="409"/>
      <c r="AL153" s="409"/>
      <c r="AM153" s="409"/>
      <c r="AN153" s="409"/>
      <c r="AO153" s="409"/>
      <c r="AP153" s="409"/>
      <c r="AQ153" s="409"/>
    </row>
    <row r="154" spans="20:43">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09"/>
      <c r="AO154" s="409"/>
      <c r="AP154" s="409"/>
      <c r="AQ154" s="409"/>
    </row>
    <row r="155" spans="20:43">
      <c r="T155" s="409"/>
      <c r="U155" s="409"/>
      <c r="V155" s="409"/>
      <c r="W155" s="409"/>
      <c r="X155" s="409"/>
      <c r="Y155" s="409"/>
      <c r="Z155" s="409"/>
      <c r="AA155" s="409"/>
      <c r="AB155" s="409"/>
      <c r="AC155" s="409"/>
      <c r="AD155" s="409"/>
      <c r="AE155" s="409"/>
      <c r="AF155" s="409"/>
      <c r="AG155" s="409"/>
      <c r="AH155" s="409"/>
      <c r="AI155" s="409"/>
      <c r="AJ155" s="409"/>
      <c r="AK155" s="409"/>
      <c r="AL155" s="409"/>
      <c r="AM155" s="409"/>
      <c r="AN155" s="409"/>
      <c r="AO155" s="409"/>
      <c r="AP155" s="409"/>
      <c r="AQ155" s="409"/>
    </row>
    <row r="156" spans="20:43">
      <c r="T156" s="409"/>
      <c r="U156" s="409"/>
      <c r="V156" s="409"/>
      <c r="W156" s="409"/>
      <c r="X156" s="409"/>
      <c r="Y156" s="409"/>
      <c r="Z156" s="409"/>
      <c r="AA156" s="409"/>
      <c r="AB156" s="409"/>
      <c r="AC156" s="409"/>
      <c r="AD156" s="409"/>
      <c r="AE156" s="409"/>
      <c r="AF156" s="409"/>
      <c r="AG156" s="409"/>
      <c r="AH156" s="409"/>
      <c r="AI156" s="409"/>
      <c r="AJ156" s="409"/>
      <c r="AK156" s="409"/>
      <c r="AL156" s="409"/>
      <c r="AM156" s="409"/>
      <c r="AN156" s="409"/>
      <c r="AO156" s="409"/>
      <c r="AP156" s="409"/>
      <c r="AQ156" s="409"/>
    </row>
    <row r="157" spans="20:43">
      <c r="T157" s="409"/>
      <c r="U157" s="409"/>
      <c r="V157" s="409"/>
      <c r="W157" s="409"/>
      <c r="X157" s="409"/>
      <c r="Y157" s="409"/>
      <c r="Z157" s="409"/>
      <c r="AA157" s="409"/>
      <c r="AB157" s="409"/>
      <c r="AC157" s="409"/>
      <c r="AD157" s="409"/>
      <c r="AE157" s="409"/>
      <c r="AF157" s="409"/>
      <c r="AG157" s="409"/>
      <c r="AH157" s="409"/>
      <c r="AI157" s="409"/>
      <c r="AJ157" s="409"/>
      <c r="AK157" s="409"/>
      <c r="AL157" s="409"/>
      <c r="AM157" s="409"/>
      <c r="AN157" s="409"/>
      <c r="AO157" s="409"/>
      <c r="AP157" s="409"/>
      <c r="AQ157" s="409"/>
    </row>
    <row r="158" spans="20:43">
      <c r="T158" s="409"/>
      <c r="U158" s="409"/>
      <c r="V158" s="409"/>
      <c r="W158" s="409"/>
      <c r="X158" s="409"/>
      <c r="Y158" s="409"/>
      <c r="Z158" s="409"/>
      <c r="AA158" s="409"/>
      <c r="AB158" s="409"/>
      <c r="AC158" s="409"/>
      <c r="AD158" s="409"/>
      <c r="AE158" s="409"/>
      <c r="AF158" s="409"/>
      <c r="AG158" s="409"/>
      <c r="AH158" s="409"/>
      <c r="AI158" s="409"/>
      <c r="AJ158" s="409"/>
      <c r="AK158" s="409"/>
      <c r="AL158" s="409"/>
      <c r="AM158" s="409"/>
      <c r="AN158" s="409"/>
      <c r="AO158" s="409"/>
      <c r="AP158" s="409"/>
      <c r="AQ158" s="409"/>
    </row>
    <row r="159" spans="20:43">
      <c r="T159" s="409"/>
      <c r="U159" s="409"/>
      <c r="V159" s="409"/>
      <c r="W159" s="409"/>
      <c r="X159" s="409"/>
      <c r="Y159" s="409"/>
      <c r="Z159" s="409"/>
      <c r="AA159" s="409"/>
      <c r="AB159" s="409"/>
      <c r="AC159" s="409"/>
      <c r="AD159" s="409"/>
      <c r="AE159" s="409"/>
      <c r="AF159" s="409"/>
      <c r="AG159" s="409"/>
      <c r="AH159" s="409"/>
      <c r="AI159" s="409"/>
      <c r="AJ159" s="409"/>
      <c r="AK159" s="409"/>
      <c r="AL159" s="409"/>
      <c r="AM159" s="409"/>
      <c r="AN159" s="409"/>
      <c r="AO159" s="409"/>
      <c r="AP159" s="409"/>
      <c r="AQ159" s="409"/>
    </row>
    <row r="160" spans="20:43">
      <c r="T160" s="409"/>
      <c r="U160" s="409"/>
      <c r="V160" s="409"/>
      <c r="W160" s="409"/>
      <c r="X160" s="409"/>
      <c r="Y160" s="409"/>
      <c r="Z160" s="409"/>
      <c r="AA160" s="409"/>
      <c r="AB160" s="409"/>
      <c r="AC160" s="409"/>
      <c r="AD160" s="409"/>
      <c r="AE160" s="409"/>
      <c r="AF160" s="409"/>
      <c r="AG160" s="409"/>
      <c r="AH160" s="409"/>
      <c r="AI160" s="409"/>
      <c r="AJ160" s="409"/>
      <c r="AK160" s="409"/>
      <c r="AL160" s="409"/>
      <c r="AM160" s="409"/>
      <c r="AN160" s="409"/>
      <c r="AO160" s="409"/>
      <c r="AP160" s="409"/>
      <c r="AQ160" s="409"/>
    </row>
    <row r="161" spans="20:43">
      <c r="T161" s="409"/>
      <c r="U161" s="409"/>
      <c r="V161" s="409"/>
      <c r="W161" s="409"/>
      <c r="X161" s="409"/>
      <c r="Y161" s="409"/>
      <c r="Z161" s="409"/>
      <c r="AA161" s="409"/>
      <c r="AB161" s="409"/>
      <c r="AC161" s="409"/>
      <c r="AD161" s="409"/>
      <c r="AE161" s="409"/>
      <c r="AF161" s="409"/>
      <c r="AG161" s="409"/>
      <c r="AH161" s="409"/>
      <c r="AI161" s="409"/>
      <c r="AJ161" s="409"/>
      <c r="AK161" s="409"/>
      <c r="AL161" s="409"/>
      <c r="AM161" s="409"/>
      <c r="AN161" s="409"/>
      <c r="AO161" s="409"/>
      <c r="AP161" s="409"/>
      <c r="AQ161" s="409"/>
    </row>
    <row r="162" spans="20:43">
      <c r="T162" s="409"/>
      <c r="U162" s="409"/>
      <c r="V162" s="409"/>
      <c r="W162" s="409"/>
      <c r="X162" s="409"/>
      <c r="Y162" s="409"/>
      <c r="Z162" s="409"/>
      <c r="AA162" s="409"/>
      <c r="AB162" s="409"/>
      <c r="AC162" s="409"/>
      <c r="AD162" s="409"/>
      <c r="AE162" s="409"/>
      <c r="AF162" s="409"/>
      <c r="AG162" s="409"/>
      <c r="AH162" s="409"/>
      <c r="AI162" s="409"/>
      <c r="AJ162" s="409"/>
      <c r="AK162" s="409"/>
      <c r="AL162" s="409"/>
      <c r="AM162" s="409"/>
      <c r="AN162" s="409"/>
      <c r="AO162" s="409"/>
      <c r="AP162" s="409"/>
      <c r="AQ162" s="409"/>
    </row>
    <row r="163" spans="20:43">
      <c r="T163" s="409"/>
      <c r="U163" s="409"/>
      <c r="V163" s="409"/>
      <c r="W163" s="409"/>
      <c r="X163" s="409"/>
      <c r="Y163" s="409"/>
      <c r="Z163" s="409"/>
      <c r="AA163" s="409"/>
      <c r="AB163" s="409"/>
      <c r="AC163" s="409"/>
      <c r="AD163" s="409"/>
      <c r="AE163" s="409"/>
      <c r="AF163" s="409"/>
      <c r="AG163" s="409"/>
      <c r="AH163" s="409"/>
      <c r="AI163" s="409"/>
      <c r="AJ163" s="409"/>
      <c r="AK163" s="409"/>
      <c r="AL163" s="409"/>
      <c r="AM163" s="409"/>
      <c r="AN163" s="409"/>
      <c r="AO163" s="409"/>
      <c r="AP163" s="409"/>
      <c r="AQ163" s="409"/>
    </row>
    <row r="164" spans="20:43">
      <c r="T164" s="409"/>
      <c r="U164" s="409"/>
      <c r="V164" s="409"/>
      <c r="W164" s="409"/>
      <c r="X164" s="409"/>
      <c r="Y164" s="409"/>
      <c r="Z164" s="409"/>
      <c r="AA164" s="409"/>
      <c r="AB164" s="409"/>
      <c r="AC164" s="409"/>
      <c r="AD164" s="409"/>
      <c r="AE164" s="409"/>
      <c r="AF164" s="409"/>
      <c r="AG164" s="409"/>
      <c r="AH164" s="409"/>
      <c r="AI164" s="409"/>
      <c r="AJ164" s="409"/>
      <c r="AK164" s="409"/>
      <c r="AL164" s="409"/>
      <c r="AM164" s="409"/>
      <c r="AN164" s="409"/>
      <c r="AO164" s="409"/>
      <c r="AP164" s="409"/>
      <c r="AQ164" s="409"/>
    </row>
    <row r="165" spans="20:43">
      <c r="T165" s="409"/>
      <c r="U165" s="409"/>
      <c r="V165" s="409"/>
      <c r="W165" s="409"/>
      <c r="X165" s="409"/>
      <c r="Y165" s="409"/>
      <c r="Z165" s="409"/>
      <c r="AA165" s="409"/>
      <c r="AB165" s="409"/>
      <c r="AC165" s="409"/>
      <c r="AD165" s="409"/>
      <c r="AE165" s="409"/>
      <c r="AF165" s="409"/>
      <c r="AG165" s="409"/>
      <c r="AH165" s="409"/>
      <c r="AI165" s="409"/>
      <c r="AJ165" s="409"/>
      <c r="AK165" s="409"/>
      <c r="AL165" s="409"/>
      <c r="AM165" s="409"/>
      <c r="AN165" s="409"/>
      <c r="AO165" s="409"/>
      <c r="AP165" s="409"/>
      <c r="AQ165" s="409"/>
    </row>
    <row r="166" spans="20:43">
      <c r="T166" s="409"/>
      <c r="U166" s="409"/>
      <c r="V166" s="409"/>
      <c r="W166" s="409"/>
      <c r="X166" s="409"/>
      <c r="Y166" s="409"/>
      <c r="Z166" s="409"/>
      <c r="AA166" s="409"/>
      <c r="AB166" s="409"/>
      <c r="AC166" s="409"/>
      <c r="AD166" s="409"/>
      <c r="AE166" s="409"/>
      <c r="AF166" s="409"/>
      <c r="AG166" s="409"/>
      <c r="AH166" s="409"/>
      <c r="AI166" s="409"/>
      <c r="AJ166" s="409"/>
      <c r="AK166" s="409"/>
      <c r="AL166" s="409"/>
      <c r="AM166" s="409"/>
      <c r="AN166" s="409"/>
      <c r="AO166" s="409"/>
      <c r="AP166" s="409"/>
      <c r="AQ166" s="409"/>
    </row>
    <row r="167" spans="20:43">
      <c r="T167" s="409"/>
      <c r="U167" s="409"/>
      <c r="V167" s="409"/>
      <c r="W167" s="409"/>
      <c r="X167" s="409"/>
      <c r="Y167" s="409"/>
      <c r="Z167" s="409"/>
      <c r="AA167" s="409"/>
      <c r="AB167" s="409"/>
      <c r="AC167" s="409"/>
      <c r="AD167" s="409"/>
      <c r="AE167" s="409"/>
      <c r="AF167" s="409"/>
      <c r="AG167" s="409"/>
      <c r="AH167" s="409"/>
      <c r="AI167" s="409"/>
      <c r="AJ167" s="409"/>
      <c r="AK167" s="409"/>
      <c r="AL167" s="409"/>
      <c r="AM167" s="409"/>
      <c r="AN167" s="409"/>
      <c r="AO167" s="409"/>
      <c r="AP167" s="409"/>
      <c r="AQ167" s="409"/>
    </row>
    <row r="168" spans="20:43">
      <c r="T168" s="409"/>
      <c r="U168" s="409"/>
      <c r="V168" s="409"/>
      <c r="W168" s="409"/>
      <c r="X168" s="409"/>
      <c r="Y168" s="409"/>
      <c r="Z168" s="409"/>
      <c r="AA168" s="409"/>
      <c r="AB168" s="409"/>
      <c r="AC168" s="409"/>
      <c r="AD168" s="409"/>
      <c r="AE168" s="409"/>
      <c r="AF168" s="409"/>
      <c r="AG168" s="409"/>
      <c r="AH168" s="409"/>
      <c r="AI168" s="409"/>
      <c r="AJ168" s="409"/>
      <c r="AK168" s="409"/>
      <c r="AL168" s="409"/>
      <c r="AM168" s="409"/>
      <c r="AN168" s="409"/>
      <c r="AO168" s="409"/>
      <c r="AP168" s="409"/>
      <c r="AQ168" s="409"/>
    </row>
    <row r="169" spans="20:43">
      <c r="T169" s="409"/>
      <c r="U169" s="409"/>
      <c r="V169" s="409"/>
      <c r="W169" s="409"/>
      <c r="X169" s="409"/>
      <c r="Y169" s="409"/>
      <c r="Z169" s="409"/>
      <c r="AA169" s="409"/>
      <c r="AB169" s="409"/>
      <c r="AC169" s="409"/>
      <c r="AD169" s="409"/>
      <c r="AE169" s="409"/>
      <c r="AF169" s="409"/>
      <c r="AG169" s="409"/>
      <c r="AH169" s="409"/>
      <c r="AI169" s="409"/>
      <c r="AJ169" s="409"/>
      <c r="AK169" s="409"/>
      <c r="AL169" s="409"/>
      <c r="AM169" s="409"/>
      <c r="AN169" s="409"/>
      <c r="AO169" s="409"/>
      <c r="AP169" s="409"/>
      <c r="AQ169" s="409"/>
    </row>
    <row r="170" spans="20:43">
      <c r="T170" s="409"/>
      <c r="U170" s="409"/>
      <c r="V170" s="409"/>
      <c r="W170" s="409"/>
      <c r="X170" s="409"/>
      <c r="Y170" s="409"/>
      <c r="Z170" s="409"/>
      <c r="AA170" s="409"/>
      <c r="AB170" s="409"/>
      <c r="AC170" s="409"/>
      <c r="AD170" s="409"/>
      <c r="AE170" s="409"/>
      <c r="AF170" s="409"/>
      <c r="AG170" s="409"/>
      <c r="AH170" s="409"/>
      <c r="AI170" s="409"/>
      <c r="AJ170" s="409"/>
      <c r="AK170" s="409"/>
      <c r="AL170" s="409"/>
      <c r="AM170" s="409"/>
      <c r="AN170" s="409"/>
      <c r="AO170" s="409"/>
      <c r="AP170" s="409"/>
      <c r="AQ170" s="409"/>
    </row>
    <row r="171" spans="20:43">
      <c r="T171" s="409"/>
      <c r="U171" s="409"/>
      <c r="V171" s="409"/>
      <c r="W171" s="409"/>
      <c r="X171" s="409"/>
      <c r="Y171" s="409"/>
      <c r="Z171" s="409"/>
      <c r="AA171" s="409"/>
      <c r="AB171" s="409"/>
      <c r="AC171" s="409"/>
      <c r="AD171" s="409"/>
      <c r="AE171" s="409"/>
      <c r="AF171" s="409"/>
      <c r="AG171" s="409"/>
      <c r="AH171" s="409"/>
      <c r="AI171" s="409"/>
      <c r="AJ171" s="409"/>
      <c r="AK171" s="409"/>
      <c r="AL171" s="409"/>
      <c r="AM171" s="409"/>
      <c r="AN171" s="409"/>
      <c r="AO171" s="409"/>
      <c r="AP171" s="409"/>
      <c r="AQ171" s="409"/>
    </row>
    <row r="172" spans="20:43">
      <c r="T172" s="409"/>
      <c r="U172" s="409"/>
      <c r="V172" s="409"/>
      <c r="W172" s="409"/>
      <c r="X172" s="409"/>
      <c r="Y172" s="409"/>
      <c r="Z172" s="409"/>
      <c r="AA172" s="409"/>
      <c r="AB172" s="409"/>
      <c r="AC172" s="409"/>
      <c r="AD172" s="409"/>
      <c r="AE172" s="409"/>
      <c r="AF172" s="409"/>
      <c r="AG172" s="409"/>
      <c r="AH172" s="409"/>
      <c r="AI172" s="409"/>
      <c r="AJ172" s="409"/>
      <c r="AK172" s="409"/>
      <c r="AL172" s="409"/>
      <c r="AM172" s="409"/>
      <c r="AN172" s="409"/>
      <c r="AO172" s="409"/>
      <c r="AP172" s="409"/>
      <c r="AQ172" s="409"/>
    </row>
    <row r="173" spans="20:43">
      <c r="T173" s="409"/>
      <c r="U173" s="409"/>
      <c r="V173" s="409"/>
      <c r="W173" s="409"/>
      <c r="X173" s="409"/>
      <c r="Y173" s="409"/>
      <c r="Z173" s="409"/>
      <c r="AA173" s="409"/>
      <c r="AB173" s="409"/>
      <c r="AC173" s="409"/>
      <c r="AD173" s="409"/>
      <c r="AE173" s="409"/>
      <c r="AF173" s="409"/>
      <c r="AG173" s="409"/>
      <c r="AH173" s="409"/>
      <c r="AI173" s="409"/>
      <c r="AJ173" s="409"/>
      <c r="AK173" s="409"/>
      <c r="AL173" s="409"/>
      <c r="AM173" s="409"/>
      <c r="AN173" s="409"/>
      <c r="AO173" s="409"/>
      <c r="AP173" s="409"/>
      <c r="AQ173" s="409"/>
    </row>
    <row r="174" spans="20:43">
      <c r="T174" s="409"/>
      <c r="U174" s="409"/>
      <c r="V174" s="409"/>
      <c r="W174" s="409"/>
      <c r="X174" s="409"/>
      <c r="Y174" s="409"/>
      <c r="Z174" s="409"/>
      <c r="AA174" s="409"/>
      <c r="AB174" s="409"/>
      <c r="AC174" s="409"/>
      <c r="AD174" s="409"/>
      <c r="AE174" s="409"/>
      <c r="AF174" s="409"/>
      <c r="AG174" s="409"/>
      <c r="AH174" s="409"/>
      <c r="AI174" s="409"/>
      <c r="AJ174" s="409"/>
      <c r="AK174" s="409"/>
      <c r="AL174" s="409"/>
      <c r="AM174" s="409"/>
      <c r="AN174" s="409"/>
      <c r="AO174" s="409"/>
      <c r="AP174" s="409"/>
      <c r="AQ174" s="409"/>
    </row>
    <row r="175" spans="20:43">
      <c r="T175" s="409"/>
      <c r="U175" s="409"/>
      <c r="V175" s="409"/>
      <c r="W175" s="409"/>
      <c r="X175" s="409"/>
      <c r="Y175" s="409"/>
      <c r="Z175" s="409"/>
      <c r="AA175" s="409"/>
      <c r="AB175" s="409"/>
      <c r="AC175" s="409"/>
      <c r="AD175" s="409"/>
      <c r="AE175" s="409"/>
      <c r="AF175" s="409"/>
      <c r="AG175" s="409"/>
      <c r="AH175" s="409"/>
      <c r="AI175" s="409"/>
      <c r="AJ175" s="409"/>
      <c r="AK175" s="409"/>
      <c r="AL175" s="409"/>
      <c r="AM175" s="409"/>
      <c r="AN175" s="409"/>
      <c r="AO175" s="409"/>
      <c r="AP175" s="409"/>
      <c r="AQ175" s="409"/>
    </row>
    <row r="176" spans="20:43">
      <c r="T176" s="409"/>
      <c r="U176" s="409"/>
      <c r="V176" s="409"/>
      <c r="W176" s="409"/>
      <c r="X176" s="409"/>
      <c r="Y176" s="409"/>
      <c r="Z176" s="409"/>
      <c r="AA176" s="409"/>
      <c r="AB176" s="409"/>
      <c r="AC176" s="409"/>
      <c r="AD176" s="409"/>
      <c r="AE176" s="409"/>
      <c r="AF176" s="409"/>
      <c r="AG176" s="409"/>
      <c r="AH176" s="409"/>
      <c r="AI176" s="409"/>
      <c r="AJ176" s="409"/>
      <c r="AK176" s="409"/>
      <c r="AL176" s="409"/>
      <c r="AM176" s="409"/>
      <c r="AN176" s="409"/>
      <c r="AO176" s="409"/>
      <c r="AP176" s="409"/>
      <c r="AQ176" s="409"/>
    </row>
    <row r="177" spans="20:43">
      <c r="T177" s="409"/>
      <c r="U177" s="409"/>
      <c r="V177" s="409"/>
      <c r="W177" s="409"/>
      <c r="X177" s="409"/>
      <c r="Y177" s="409"/>
      <c r="Z177" s="409"/>
      <c r="AA177" s="409"/>
      <c r="AB177" s="409"/>
      <c r="AC177" s="409"/>
      <c r="AD177" s="409"/>
      <c r="AE177" s="409"/>
      <c r="AF177" s="409"/>
      <c r="AG177" s="409"/>
      <c r="AH177" s="409"/>
      <c r="AI177" s="409"/>
      <c r="AJ177" s="409"/>
      <c r="AK177" s="409"/>
      <c r="AL177" s="409"/>
      <c r="AM177" s="409"/>
      <c r="AN177" s="409"/>
      <c r="AO177" s="409"/>
      <c r="AP177" s="409"/>
      <c r="AQ177" s="409"/>
    </row>
    <row r="178" spans="20:43">
      <c r="T178" s="409"/>
      <c r="U178" s="409"/>
      <c r="V178" s="409"/>
      <c r="W178" s="409"/>
      <c r="X178" s="409"/>
      <c r="Y178" s="409"/>
      <c r="Z178" s="409"/>
      <c r="AA178" s="409"/>
      <c r="AB178" s="409"/>
      <c r="AC178" s="409"/>
      <c r="AD178" s="409"/>
      <c r="AE178" s="409"/>
      <c r="AF178" s="409"/>
      <c r="AG178" s="409"/>
      <c r="AH178" s="409"/>
      <c r="AI178" s="409"/>
      <c r="AJ178" s="409"/>
      <c r="AK178" s="409"/>
      <c r="AL178" s="409"/>
      <c r="AM178" s="409"/>
      <c r="AN178" s="409"/>
      <c r="AO178" s="409"/>
      <c r="AP178" s="409"/>
      <c r="AQ178" s="409"/>
    </row>
    <row r="179" spans="20:43">
      <c r="T179" s="409"/>
      <c r="U179" s="409"/>
      <c r="V179" s="409"/>
      <c r="W179" s="409"/>
      <c r="X179" s="409"/>
      <c r="Y179" s="409"/>
      <c r="Z179" s="409"/>
      <c r="AA179" s="409"/>
      <c r="AB179" s="409"/>
      <c r="AC179" s="409"/>
      <c r="AD179" s="409"/>
      <c r="AE179" s="409"/>
      <c r="AF179" s="409"/>
      <c r="AG179" s="409"/>
      <c r="AH179" s="409"/>
      <c r="AI179" s="409"/>
      <c r="AJ179" s="409"/>
      <c r="AK179" s="409"/>
      <c r="AL179" s="409"/>
      <c r="AM179" s="409"/>
      <c r="AN179" s="409"/>
      <c r="AO179" s="409"/>
      <c r="AP179" s="409"/>
      <c r="AQ179" s="409"/>
    </row>
    <row r="180" spans="20:43">
      <c r="T180" s="409"/>
      <c r="U180" s="409"/>
      <c r="V180" s="409"/>
      <c r="W180" s="409"/>
      <c r="X180" s="409"/>
      <c r="Y180" s="409"/>
      <c r="Z180" s="409"/>
      <c r="AA180" s="409"/>
      <c r="AB180" s="409"/>
      <c r="AC180" s="409"/>
      <c r="AD180" s="409"/>
      <c r="AE180" s="409"/>
      <c r="AF180" s="409"/>
      <c r="AG180" s="409"/>
      <c r="AH180" s="409"/>
      <c r="AI180" s="409"/>
      <c r="AJ180" s="409"/>
      <c r="AK180" s="409"/>
      <c r="AL180" s="409"/>
      <c r="AM180" s="409"/>
      <c r="AN180" s="409"/>
      <c r="AO180" s="409"/>
      <c r="AP180" s="409"/>
      <c r="AQ180" s="409"/>
    </row>
    <row r="181" spans="20:43">
      <c r="T181" s="409"/>
      <c r="U181" s="409"/>
      <c r="V181" s="409"/>
      <c r="W181" s="409"/>
      <c r="X181" s="409"/>
      <c r="Y181" s="409"/>
      <c r="Z181" s="409"/>
      <c r="AA181" s="409"/>
      <c r="AB181" s="409"/>
      <c r="AC181" s="409"/>
      <c r="AD181" s="409"/>
      <c r="AE181" s="409"/>
      <c r="AF181" s="409"/>
      <c r="AG181" s="409"/>
      <c r="AH181" s="409"/>
      <c r="AI181" s="409"/>
      <c r="AJ181" s="409"/>
      <c r="AK181" s="409"/>
      <c r="AL181" s="409"/>
      <c r="AM181" s="409"/>
      <c r="AN181" s="409"/>
      <c r="AO181" s="409"/>
      <c r="AP181" s="409"/>
      <c r="AQ181" s="409"/>
    </row>
    <row r="182" spans="20:43">
      <c r="T182" s="409"/>
      <c r="U182" s="409"/>
      <c r="V182" s="409"/>
      <c r="W182" s="409"/>
      <c r="X182" s="409"/>
      <c r="Y182" s="409"/>
      <c r="Z182" s="409"/>
      <c r="AA182" s="409"/>
      <c r="AB182" s="409"/>
      <c r="AC182" s="409"/>
      <c r="AD182" s="409"/>
      <c r="AE182" s="409"/>
      <c r="AF182" s="409"/>
      <c r="AG182" s="409"/>
      <c r="AH182" s="409"/>
      <c r="AI182" s="409"/>
      <c r="AJ182" s="409"/>
      <c r="AK182" s="409"/>
      <c r="AL182" s="409"/>
      <c r="AM182" s="409"/>
      <c r="AN182" s="409"/>
      <c r="AO182" s="409"/>
      <c r="AP182" s="409"/>
      <c r="AQ182" s="409"/>
    </row>
    <row r="183" spans="20:43">
      <c r="T183" s="409"/>
      <c r="U183" s="409"/>
      <c r="V183" s="409"/>
      <c r="W183" s="409"/>
      <c r="X183" s="409"/>
      <c r="Y183" s="409"/>
      <c r="Z183" s="409"/>
      <c r="AA183" s="409"/>
      <c r="AB183" s="409"/>
      <c r="AC183" s="409"/>
      <c r="AD183" s="409"/>
      <c r="AE183" s="409"/>
      <c r="AF183" s="409"/>
      <c r="AG183" s="409"/>
      <c r="AH183" s="409"/>
      <c r="AI183" s="409"/>
      <c r="AJ183" s="409"/>
      <c r="AK183" s="409"/>
      <c r="AL183" s="409"/>
      <c r="AM183" s="409"/>
      <c r="AN183" s="409"/>
      <c r="AO183" s="409"/>
      <c r="AP183" s="409"/>
      <c r="AQ183" s="409"/>
    </row>
    <row r="184" spans="20:43">
      <c r="T184" s="409"/>
      <c r="U184" s="409"/>
      <c r="V184" s="409"/>
      <c r="W184" s="409"/>
      <c r="X184" s="409"/>
      <c r="Y184" s="409"/>
      <c r="Z184" s="409"/>
      <c r="AA184" s="409"/>
      <c r="AB184" s="409"/>
      <c r="AC184" s="409"/>
      <c r="AD184" s="409"/>
      <c r="AE184" s="409"/>
      <c r="AF184" s="409"/>
      <c r="AG184" s="409"/>
      <c r="AH184" s="409"/>
      <c r="AI184" s="409"/>
      <c r="AJ184" s="409"/>
      <c r="AK184" s="409"/>
      <c r="AL184" s="409"/>
      <c r="AM184" s="409"/>
      <c r="AN184" s="409"/>
      <c r="AO184" s="409"/>
      <c r="AP184" s="409"/>
      <c r="AQ184" s="409"/>
    </row>
    <row r="185" spans="20:43">
      <c r="T185" s="409"/>
      <c r="U185" s="409"/>
      <c r="V185" s="409"/>
      <c r="W185" s="409"/>
      <c r="X185" s="409"/>
      <c r="Y185" s="409"/>
      <c r="Z185" s="409"/>
      <c r="AA185" s="409"/>
      <c r="AB185" s="409"/>
      <c r="AC185" s="409"/>
      <c r="AD185" s="409"/>
      <c r="AE185" s="409"/>
      <c r="AF185" s="409"/>
      <c r="AG185" s="409"/>
      <c r="AH185" s="409"/>
      <c r="AI185" s="409"/>
      <c r="AJ185" s="409"/>
      <c r="AK185" s="409"/>
      <c r="AL185" s="409"/>
      <c r="AM185" s="409"/>
      <c r="AN185" s="409"/>
      <c r="AO185" s="409"/>
      <c r="AP185" s="409"/>
      <c r="AQ185" s="409"/>
    </row>
    <row r="186" spans="20:43">
      <c r="T186" s="409"/>
      <c r="U186" s="409"/>
      <c r="V186" s="409"/>
      <c r="W186" s="409"/>
      <c r="X186" s="409"/>
      <c r="Y186" s="409"/>
      <c r="Z186" s="409"/>
      <c r="AA186" s="409"/>
      <c r="AB186" s="409"/>
      <c r="AC186" s="409"/>
      <c r="AD186" s="409"/>
      <c r="AE186" s="409"/>
      <c r="AF186" s="409"/>
      <c r="AG186" s="409"/>
      <c r="AH186" s="409"/>
      <c r="AI186" s="409"/>
      <c r="AJ186" s="409"/>
      <c r="AK186" s="409"/>
      <c r="AL186" s="409"/>
      <c r="AM186" s="409"/>
      <c r="AN186" s="409"/>
      <c r="AO186" s="409"/>
      <c r="AP186" s="409"/>
      <c r="AQ186" s="409"/>
    </row>
    <row r="187" spans="20:43">
      <c r="T187" s="409"/>
      <c r="U187" s="409"/>
      <c r="V187" s="409"/>
      <c r="W187" s="409"/>
      <c r="X187" s="409"/>
      <c r="Y187" s="409"/>
      <c r="Z187" s="409"/>
      <c r="AA187" s="409"/>
      <c r="AB187" s="409"/>
      <c r="AC187" s="409"/>
      <c r="AD187" s="409"/>
      <c r="AE187" s="409"/>
      <c r="AF187" s="409"/>
      <c r="AG187" s="409"/>
      <c r="AH187" s="409"/>
      <c r="AI187" s="409"/>
      <c r="AJ187" s="409"/>
      <c r="AK187" s="409"/>
      <c r="AL187" s="409"/>
      <c r="AM187" s="409"/>
      <c r="AN187" s="409"/>
      <c r="AO187" s="409"/>
      <c r="AP187" s="409"/>
      <c r="AQ187" s="409"/>
    </row>
    <row r="188" spans="20:43">
      <c r="T188" s="409"/>
      <c r="U188" s="409"/>
      <c r="V188" s="409"/>
      <c r="W188" s="409"/>
      <c r="X188" s="409"/>
      <c r="Y188" s="409"/>
      <c r="Z188" s="409"/>
      <c r="AA188" s="409"/>
      <c r="AB188" s="409"/>
      <c r="AC188" s="409"/>
      <c r="AD188" s="409"/>
      <c r="AE188" s="409"/>
      <c r="AF188" s="409"/>
      <c r="AG188" s="409"/>
      <c r="AH188" s="409"/>
      <c r="AI188" s="409"/>
      <c r="AJ188" s="409"/>
      <c r="AK188" s="409"/>
      <c r="AL188" s="409"/>
      <c r="AM188" s="409"/>
      <c r="AN188" s="409"/>
      <c r="AO188" s="409"/>
      <c r="AP188" s="409"/>
      <c r="AQ188" s="409"/>
    </row>
    <row r="189" spans="20:43">
      <c r="T189" s="409"/>
      <c r="U189" s="409"/>
      <c r="V189" s="409"/>
      <c r="W189" s="409"/>
      <c r="X189" s="409"/>
      <c r="Y189" s="409"/>
      <c r="Z189" s="409"/>
      <c r="AA189" s="409"/>
      <c r="AB189" s="409"/>
      <c r="AC189" s="409"/>
      <c r="AD189" s="409"/>
      <c r="AE189" s="409"/>
      <c r="AF189" s="409"/>
      <c r="AG189" s="409"/>
      <c r="AH189" s="409"/>
      <c r="AI189" s="409"/>
      <c r="AJ189" s="409"/>
      <c r="AK189" s="409"/>
      <c r="AL189" s="409"/>
      <c r="AM189" s="409"/>
      <c r="AN189" s="409"/>
      <c r="AO189" s="409"/>
      <c r="AP189" s="409"/>
      <c r="AQ189" s="409"/>
    </row>
    <row r="190" spans="20:43">
      <c r="T190" s="409"/>
      <c r="U190" s="409"/>
      <c r="V190" s="409"/>
      <c r="W190" s="409"/>
      <c r="X190" s="409"/>
      <c r="Y190" s="409"/>
      <c r="Z190" s="409"/>
      <c r="AA190" s="409"/>
      <c r="AB190" s="409"/>
      <c r="AC190" s="409"/>
      <c r="AD190" s="409"/>
      <c r="AE190" s="409"/>
      <c r="AF190" s="409"/>
      <c r="AG190" s="409"/>
      <c r="AH190" s="409"/>
      <c r="AI190" s="409"/>
      <c r="AJ190" s="409"/>
      <c r="AK190" s="409"/>
      <c r="AL190" s="409"/>
      <c r="AM190" s="409"/>
      <c r="AN190" s="409"/>
      <c r="AO190" s="409"/>
      <c r="AP190" s="409"/>
      <c r="AQ190" s="409"/>
    </row>
    <row r="191" spans="20:43">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row>
    <row r="192" spans="20:43">
      <c r="T192" s="409"/>
      <c r="U192" s="409"/>
      <c r="V192" s="409"/>
      <c r="W192" s="409"/>
      <c r="X192" s="409"/>
      <c r="Y192" s="409"/>
      <c r="Z192" s="409"/>
      <c r="AA192" s="409"/>
      <c r="AB192" s="409"/>
      <c r="AC192" s="409"/>
      <c r="AD192" s="409"/>
      <c r="AE192" s="409"/>
      <c r="AF192" s="409"/>
      <c r="AG192" s="409"/>
      <c r="AH192" s="409"/>
      <c r="AI192" s="409"/>
      <c r="AJ192" s="409"/>
      <c r="AK192" s="409"/>
      <c r="AL192" s="409"/>
      <c r="AM192" s="409"/>
      <c r="AN192" s="409"/>
      <c r="AO192" s="409"/>
      <c r="AP192" s="409"/>
      <c r="AQ192" s="409"/>
    </row>
    <row r="193" spans="20:43">
      <c r="T193" s="409"/>
      <c r="U193" s="409"/>
      <c r="V193" s="409"/>
      <c r="W193" s="409"/>
      <c r="X193" s="409"/>
      <c r="Y193" s="409"/>
      <c r="Z193" s="409"/>
      <c r="AA193" s="409"/>
      <c r="AB193" s="409"/>
      <c r="AC193" s="409"/>
      <c r="AD193" s="409"/>
      <c r="AE193" s="409"/>
      <c r="AF193" s="409"/>
      <c r="AG193" s="409"/>
      <c r="AH193" s="409"/>
      <c r="AI193" s="409"/>
      <c r="AJ193" s="409"/>
      <c r="AK193" s="409"/>
      <c r="AL193" s="409"/>
      <c r="AM193" s="409"/>
      <c r="AN193" s="409"/>
      <c r="AO193" s="409"/>
      <c r="AP193" s="409"/>
      <c r="AQ193" s="409"/>
    </row>
    <row r="194" spans="20:43">
      <c r="T194" s="409"/>
      <c r="U194" s="409"/>
      <c r="V194" s="409"/>
      <c r="W194" s="409"/>
      <c r="X194" s="409"/>
      <c r="Y194" s="409"/>
      <c r="Z194" s="409"/>
      <c r="AA194" s="409"/>
      <c r="AB194" s="409"/>
      <c r="AC194" s="409"/>
      <c r="AD194" s="409"/>
      <c r="AE194" s="409"/>
      <c r="AF194" s="409"/>
      <c r="AG194" s="409"/>
      <c r="AH194" s="409"/>
      <c r="AI194" s="409"/>
      <c r="AJ194" s="409"/>
      <c r="AK194" s="409"/>
      <c r="AL194" s="409"/>
      <c r="AM194" s="409"/>
      <c r="AN194" s="409"/>
      <c r="AO194" s="409"/>
      <c r="AP194" s="409"/>
      <c r="AQ194" s="409"/>
    </row>
    <row r="195" spans="20:43">
      <c r="T195" s="409"/>
      <c r="U195" s="409"/>
      <c r="V195" s="409"/>
      <c r="W195" s="409"/>
      <c r="X195" s="409"/>
      <c r="Y195" s="409"/>
      <c r="Z195" s="409"/>
      <c r="AA195" s="409"/>
      <c r="AB195" s="409"/>
      <c r="AC195" s="409"/>
      <c r="AD195" s="409"/>
      <c r="AE195" s="409"/>
      <c r="AF195" s="409"/>
      <c r="AG195" s="409"/>
      <c r="AH195" s="409"/>
      <c r="AI195" s="409"/>
      <c r="AJ195" s="409"/>
      <c r="AK195" s="409"/>
      <c r="AL195" s="409"/>
      <c r="AM195" s="409"/>
      <c r="AN195" s="409"/>
      <c r="AO195" s="409"/>
      <c r="AP195" s="409"/>
      <c r="AQ195" s="409"/>
    </row>
    <row r="196" spans="20:43">
      <c r="T196" s="409"/>
      <c r="U196" s="409"/>
      <c r="V196" s="409"/>
      <c r="W196" s="409"/>
      <c r="X196" s="409"/>
      <c r="Y196" s="409"/>
      <c r="Z196" s="409"/>
      <c r="AA196" s="409"/>
      <c r="AB196" s="409"/>
      <c r="AC196" s="409"/>
      <c r="AD196" s="409"/>
      <c r="AE196" s="409"/>
      <c r="AF196" s="409"/>
      <c r="AG196" s="409"/>
      <c r="AH196" s="409"/>
      <c r="AI196" s="409"/>
      <c r="AJ196" s="409"/>
      <c r="AK196" s="409"/>
      <c r="AL196" s="409"/>
      <c r="AM196" s="409"/>
      <c r="AN196" s="409"/>
      <c r="AO196" s="409"/>
      <c r="AP196" s="409"/>
      <c r="AQ196" s="409"/>
    </row>
    <row r="197" spans="20:43">
      <c r="T197" s="409"/>
      <c r="U197" s="409"/>
      <c r="V197" s="409"/>
      <c r="W197" s="409"/>
      <c r="X197" s="409"/>
      <c r="Y197" s="409"/>
      <c r="Z197" s="409"/>
      <c r="AA197" s="409"/>
      <c r="AB197" s="409"/>
      <c r="AC197" s="409"/>
      <c r="AD197" s="409"/>
      <c r="AE197" s="409"/>
      <c r="AF197" s="409"/>
      <c r="AG197" s="409"/>
      <c r="AH197" s="409"/>
      <c r="AI197" s="409"/>
      <c r="AJ197" s="409"/>
      <c r="AK197" s="409"/>
      <c r="AL197" s="409"/>
      <c r="AM197" s="409"/>
      <c r="AN197" s="409"/>
      <c r="AO197" s="409"/>
      <c r="AP197" s="409"/>
      <c r="AQ197" s="409"/>
    </row>
    <row r="198" spans="20:43">
      <c r="T198" s="409"/>
      <c r="U198" s="409"/>
      <c r="V198" s="409"/>
      <c r="W198" s="409"/>
      <c r="X198" s="409"/>
      <c r="Y198" s="409"/>
      <c r="Z198" s="409"/>
      <c r="AA198" s="409"/>
      <c r="AB198" s="409"/>
      <c r="AC198" s="409"/>
      <c r="AD198" s="409"/>
      <c r="AE198" s="409"/>
      <c r="AF198" s="409"/>
      <c r="AG198" s="409"/>
      <c r="AH198" s="409"/>
      <c r="AI198" s="409"/>
      <c r="AJ198" s="409"/>
      <c r="AK198" s="409"/>
      <c r="AL198" s="409"/>
      <c r="AM198" s="409"/>
      <c r="AN198" s="409"/>
      <c r="AO198" s="409"/>
      <c r="AP198" s="409"/>
      <c r="AQ198" s="409"/>
    </row>
    <row r="199" spans="20:43">
      <c r="T199" s="409"/>
      <c r="U199" s="409"/>
      <c r="V199" s="409"/>
      <c r="W199" s="409"/>
      <c r="X199" s="409"/>
      <c r="Y199" s="409"/>
      <c r="Z199" s="409"/>
      <c r="AA199" s="409"/>
      <c r="AB199" s="409"/>
      <c r="AC199" s="409"/>
      <c r="AD199" s="409"/>
      <c r="AE199" s="409"/>
      <c r="AF199" s="409"/>
      <c r="AG199" s="409"/>
      <c r="AH199" s="409"/>
      <c r="AI199" s="409"/>
      <c r="AJ199" s="409"/>
      <c r="AK199" s="409"/>
      <c r="AL199" s="409"/>
      <c r="AM199" s="409"/>
      <c r="AN199" s="409"/>
      <c r="AO199" s="409"/>
      <c r="AP199" s="409"/>
      <c r="AQ199" s="409"/>
    </row>
    <row r="200" spans="20:43">
      <c r="T200" s="409"/>
      <c r="U200" s="409"/>
      <c r="V200" s="409"/>
      <c r="W200" s="409"/>
      <c r="X200" s="409"/>
      <c r="Y200" s="409"/>
      <c r="Z200" s="409"/>
      <c r="AA200" s="409"/>
      <c r="AB200" s="409"/>
      <c r="AC200" s="409"/>
      <c r="AD200" s="409"/>
      <c r="AE200" s="409"/>
      <c r="AF200" s="409"/>
      <c r="AG200" s="409"/>
      <c r="AH200" s="409"/>
      <c r="AI200" s="409"/>
      <c r="AJ200" s="409"/>
      <c r="AK200" s="409"/>
      <c r="AL200" s="409"/>
      <c r="AM200" s="409"/>
      <c r="AN200" s="409"/>
      <c r="AO200" s="409"/>
      <c r="AP200" s="409"/>
      <c r="AQ200" s="409"/>
    </row>
    <row r="201" spans="20:43">
      <c r="T201" s="409"/>
      <c r="U201" s="409"/>
      <c r="V201" s="409"/>
      <c r="W201" s="409"/>
      <c r="X201" s="409"/>
      <c r="Y201" s="409"/>
      <c r="Z201" s="409"/>
      <c r="AA201" s="409"/>
      <c r="AB201" s="409"/>
      <c r="AC201" s="409"/>
      <c r="AD201" s="409"/>
      <c r="AE201" s="409"/>
      <c r="AF201" s="409"/>
      <c r="AG201" s="409"/>
      <c r="AH201" s="409"/>
      <c r="AI201" s="409"/>
      <c r="AJ201" s="409"/>
      <c r="AK201" s="409"/>
      <c r="AL201" s="409"/>
      <c r="AM201" s="409"/>
      <c r="AN201" s="409"/>
      <c r="AO201" s="409"/>
      <c r="AP201" s="409"/>
      <c r="AQ201" s="409"/>
    </row>
    <row r="202" spans="20:43">
      <c r="T202" s="409"/>
      <c r="U202" s="409"/>
      <c r="V202" s="409"/>
      <c r="W202" s="409"/>
      <c r="X202" s="409"/>
      <c r="Y202" s="409"/>
      <c r="Z202" s="409"/>
      <c r="AA202" s="409"/>
      <c r="AB202" s="409"/>
      <c r="AC202" s="409"/>
      <c r="AD202" s="409"/>
      <c r="AE202" s="409"/>
      <c r="AF202" s="409"/>
      <c r="AG202" s="409"/>
      <c r="AH202" s="409"/>
      <c r="AI202" s="409"/>
      <c r="AJ202" s="409"/>
      <c r="AK202" s="409"/>
      <c r="AL202" s="409"/>
      <c r="AM202" s="409"/>
      <c r="AN202" s="409"/>
      <c r="AO202" s="409"/>
      <c r="AP202" s="409"/>
      <c r="AQ202" s="409"/>
    </row>
    <row r="203" spans="20:43">
      <c r="T203" s="409"/>
      <c r="U203" s="409"/>
      <c r="V203" s="409"/>
      <c r="W203" s="409"/>
      <c r="X203" s="409"/>
      <c r="Y203" s="409"/>
      <c r="Z203" s="409"/>
      <c r="AA203" s="409"/>
      <c r="AB203" s="409"/>
      <c r="AC203" s="409"/>
      <c r="AD203" s="409"/>
      <c r="AE203" s="409"/>
      <c r="AF203" s="409"/>
      <c r="AG203" s="409"/>
      <c r="AH203" s="409"/>
      <c r="AI203" s="409"/>
      <c r="AJ203" s="409"/>
      <c r="AK203" s="409"/>
      <c r="AL203" s="409"/>
      <c r="AM203" s="409"/>
      <c r="AN203" s="409"/>
      <c r="AO203" s="409"/>
      <c r="AP203" s="409"/>
      <c r="AQ203" s="409"/>
    </row>
    <row r="204" spans="20:43">
      <c r="T204" s="409"/>
      <c r="U204" s="409"/>
      <c r="V204" s="409"/>
      <c r="W204" s="409"/>
      <c r="X204" s="409"/>
      <c r="Y204" s="409"/>
      <c r="Z204" s="409"/>
      <c r="AA204" s="409"/>
      <c r="AB204" s="409"/>
      <c r="AC204" s="409"/>
      <c r="AD204" s="409"/>
      <c r="AE204" s="409"/>
      <c r="AF204" s="409"/>
      <c r="AG204" s="409"/>
      <c r="AH204" s="409"/>
      <c r="AI204" s="409"/>
      <c r="AJ204" s="409"/>
      <c r="AK204" s="409"/>
      <c r="AL204" s="409"/>
      <c r="AM204" s="409"/>
      <c r="AN204" s="409"/>
      <c r="AO204" s="409"/>
      <c r="AP204" s="409"/>
      <c r="AQ204" s="409"/>
    </row>
    <row r="205" spans="20:43">
      <c r="T205" s="409"/>
      <c r="U205" s="409"/>
      <c r="V205" s="409"/>
      <c r="W205" s="409"/>
      <c r="X205" s="409"/>
      <c r="Y205" s="409"/>
      <c r="Z205" s="409"/>
      <c r="AA205" s="409"/>
      <c r="AB205" s="409"/>
      <c r="AC205" s="409"/>
      <c r="AD205" s="409"/>
      <c r="AE205" s="409"/>
      <c r="AF205" s="409"/>
      <c r="AG205" s="409"/>
      <c r="AH205" s="409"/>
      <c r="AI205" s="409"/>
      <c r="AJ205" s="409"/>
      <c r="AK205" s="409"/>
      <c r="AL205" s="409"/>
      <c r="AM205" s="409"/>
      <c r="AN205" s="409"/>
      <c r="AO205" s="409"/>
      <c r="AP205" s="409"/>
      <c r="AQ205" s="409"/>
    </row>
    <row r="206" spans="20:43">
      <c r="T206" s="409"/>
      <c r="U206" s="409"/>
      <c r="V206" s="409"/>
      <c r="W206" s="409"/>
      <c r="X206" s="409"/>
      <c r="Y206" s="409"/>
      <c r="Z206" s="409"/>
      <c r="AA206" s="409"/>
      <c r="AB206" s="409"/>
      <c r="AC206" s="409"/>
      <c r="AD206" s="409"/>
      <c r="AE206" s="409"/>
      <c r="AF206" s="409"/>
      <c r="AG206" s="409"/>
      <c r="AH206" s="409"/>
      <c r="AI206" s="409"/>
      <c r="AJ206" s="409"/>
      <c r="AK206" s="409"/>
      <c r="AL206" s="409"/>
      <c r="AM206" s="409"/>
      <c r="AN206" s="409"/>
      <c r="AO206" s="409"/>
      <c r="AP206" s="409"/>
      <c r="AQ206" s="409"/>
    </row>
    <row r="207" spans="20:43">
      <c r="T207" s="409"/>
      <c r="U207" s="409"/>
      <c r="V207" s="409"/>
      <c r="W207" s="409"/>
      <c r="X207" s="409"/>
      <c r="Y207" s="409"/>
      <c r="Z207" s="409"/>
      <c r="AA207" s="409"/>
      <c r="AB207" s="409"/>
      <c r="AC207" s="409"/>
      <c r="AD207" s="409"/>
      <c r="AE207" s="409"/>
      <c r="AF207" s="409"/>
      <c r="AG207" s="409"/>
      <c r="AH207" s="409"/>
      <c r="AI207" s="409"/>
      <c r="AJ207" s="409"/>
      <c r="AK207" s="409"/>
      <c r="AL207" s="409"/>
      <c r="AM207" s="409"/>
      <c r="AN207" s="409"/>
      <c r="AO207" s="409"/>
      <c r="AP207" s="409"/>
      <c r="AQ207" s="409"/>
    </row>
    <row r="208" spans="20:43">
      <c r="T208" s="409"/>
      <c r="U208" s="409"/>
      <c r="V208" s="409"/>
      <c r="W208" s="409"/>
      <c r="X208" s="409"/>
      <c r="Y208" s="409"/>
      <c r="Z208" s="409"/>
      <c r="AA208" s="409"/>
      <c r="AB208" s="409"/>
      <c r="AC208" s="409"/>
      <c r="AD208" s="409"/>
      <c r="AE208" s="409"/>
      <c r="AF208" s="409"/>
      <c r="AG208" s="409"/>
      <c r="AH208" s="409"/>
      <c r="AI208" s="409"/>
      <c r="AJ208" s="409"/>
      <c r="AK208" s="409"/>
      <c r="AL208" s="409"/>
      <c r="AM208" s="409"/>
      <c r="AN208" s="409"/>
      <c r="AO208" s="409"/>
      <c r="AP208" s="409"/>
      <c r="AQ208" s="409"/>
    </row>
    <row r="209" spans="20:43">
      <c r="T209" s="409"/>
      <c r="U209" s="409"/>
      <c r="V209" s="409"/>
      <c r="W209" s="409"/>
      <c r="X209" s="409"/>
      <c r="Y209" s="409"/>
      <c r="Z209" s="409"/>
      <c r="AA209" s="409"/>
      <c r="AB209" s="409"/>
      <c r="AC209" s="409"/>
      <c r="AD209" s="409"/>
      <c r="AE209" s="409"/>
      <c r="AF209" s="409"/>
      <c r="AG209" s="409"/>
      <c r="AH209" s="409"/>
      <c r="AI209" s="409"/>
      <c r="AJ209" s="409"/>
      <c r="AK209" s="409"/>
      <c r="AL209" s="409"/>
      <c r="AM209" s="409"/>
      <c r="AN209" s="409"/>
      <c r="AO209" s="409"/>
      <c r="AP209" s="409"/>
      <c r="AQ209" s="409"/>
    </row>
    <row r="210" spans="20:43">
      <c r="T210" s="409"/>
      <c r="U210" s="409"/>
      <c r="V210" s="409"/>
      <c r="W210" s="409"/>
      <c r="X210" s="409"/>
      <c r="Y210" s="409"/>
      <c r="Z210" s="409"/>
      <c r="AA210" s="409"/>
      <c r="AB210" s="409"/>
      <c r="AC210" s="409"/>
      <c r="AD210" s="409"/>
      <c r="AE210" s="409"/>
      <c r="AF210" s="409"/>
      <c r="AG210" s="409"/>
      <c r="AH210" s="409"/>
      <c r="AI210" s="409"/>
      <c r="AJ210" s="409"/>
      <c r="AK210" s="409"/>
      <c r="AL210" s="409"/>
      <c r="AM210" s="409"/>
      <c r="AN210" s="409"/>
      <c r="AO210" s="409"/>
      <c r="AP210" s="409"/>
      <c r="AQ210" s="409"/>
    </row>
    <row r="211" spans="20:43">
      <c r="T211" s="409"/>
      <c r="U211" s="409"/>
      <c r="V211" s="409"/>
      <c r="W211" s="409"/>
      <c r="X211" s="409"/>
      <c r="Y211" s="409"/>
      <c r="Z211" s="409"/>
      <c r="AA211" s="409"/>
      <c r="AB211" s="409"/>
      <c r="AC211" s="409"/>
      <c r="AD211" s="409"/>
      <c r="AE211" s="409"/>
      <c r="AF211" s="409"/>
      <c r="AG211" s="409"/>
      <c r="AH211" s="409"/>
      <c r="AI211" s="409"/>
      <c r="AJ211" s="409"/>
      <c r="AK211" s="409"/>
      <c r="AL211" s="409"/>
      <c r="AM211" s="409"/>
      <c r="AN211" s="409"/>
      <c r="AO211" s="409"/>
      <c r="AP211" s="409"/>
      <c r="AQ211" s="409"/>
    </row>
    <row r="212" spans="20:43">
      <c r="T212" s="409"/>
      <c r="U212" s="409"/>
      <c r="V212" s="409"/>
      <c r="W212" s="409"/>
      <c r="X212" s="409"/>
      <c r="Y212" s="409"/>
      <c r="Z212" s="409"/>
      <c r="AA212" s="409"/>
      <c r="AB212" s="409"/>
      <c r="AC212" s="409"/>
      <c r="AD212" s="409"/>
      <c r="AE212" s="409"/>
      <c r="AF212" s="409"/>
      <c r="AG212" s="409"/>
      <c r="AH212" s="409"/>
      <c r="AI212" s="409"/>
      <c r="AJ212" s="409"/>
      <c r="AK212" s="409"/>
      <c r="AL212" s="409"/>
      <c r="AM212" s="409"/>
      <c r="AN212" s="409"/>
      <c r="AO212" s="409"/>
      <c r="AP212" s="409"/>
      <c r="AQ212" s="409"/>
    </row>
    <row r="213" spans="20:43">
      <c r="T213" s="409"/>
      <c r="U213" s="409"/>
      <c r="V213" s="409"/>
      <c r="W213" s="409"/>
      <c r="X213" s="409"/>
      <c r="Y213" s="409"/>
      <c r="Z213" s="409"/>
      <c r="AA213" s="409"/>
      <c r="AB213" s="409"/>
      <c r="AC213" s="409"/>
      <c r="AD213" s="409"/>
      <c r="AE213" s="409"/>
      <c r="AF213" s="409"/>
      <c r="AG213" s="409"/>
      <c r="AH213" s="409"/>
      <c r="AI213" s="409"/>
      <c r="AJ213" s="409"/>
      <c r="AK213" s="409"/>
      <c r="AL213" s="409"/>
      <c r="AM213" s="409"/>
      <c r="AN213" s="409"/>
      <c r="AO213" s="409"/>
      <c r="AP213" s="409"/>
      <c r="AQ213" s="409"/>
    </row>
    <row r="214" spans="20:43">
      <c r="T214" s="409"/>
      <c r="U214" s="409"/>
      <c r="V214" s="409"/>
      <c r="W214" s="409"/>
      <c r="X214" s="409"/>
      <c r="Y214" s="409"/>
      <c r="Z214" s="409"/>
      <c r="AA214" s="409"/>
      <c r="AB214" s="409"/>
      <c r="AC214" s="409"/>
      <c r="AD214" s="409"/>
      <c r="AE214" s="409"/>
      <c r="AF214" s="409"/>
      <c r="AG214" s="409"/>
      <c r="AH214" s="409"/>
      <c r="AI214" s="409"/>
      <c r="AJ214" s="409"/>
      <c r="AK214" s="409"/>
      <c r="AL214" s="409"/>
      <c r="AM214" s="409"/>
      <c r="AN214" s="409"/>
      <c r="AO214" s="409"/>
      <c r="AP214" s="409"/>
      <c r="AQ214" s="409"/>
    </row>
    <row r="215" spans="20:43">
      <c r="T215" s="409"/>
      <c r="U215" s="409"/>
      <c r="V215" s="409"/>
      <c r="W215" s="409"/>
      <c r="X215" s="409"/>
      <c r="Y215" s="409"/>
      <c r="Z215" s="409"/>
      <c r="AA215" s="409"/>
      <c r="AB215" s="409"/>
      <c r="AC215" s="409"/>
      <c r="AD215" s="409"/>
      <c r="AE215" s="409"/>
      <c r="AF215" s="409"/>
      <c r="AG215" s="409"/>
      <c r="AH215" s="409"/>
      <c r="AI215" s="409"/>
      <c r="AJ215" s="409"/>
      <c r="AK215" s="409"/>
      <c r="AL215" s="409"/>
      <c r="AM215" s="409"/>
      <c r="AN215" s="409"/>
      <c r="AO215" s="409"/>
      <c r="AP215" s="409"/>
      <c r="AQ215" s="409"/>
    </row>
    <row r="216" spans="20:43">
      <c r="T216" s="409"/>
      <c r="U216" s="409"/>
      <c r="V216" s="409"/>
      <c r="W216" s="409"/>
      <c r="X216" s="409"/>
      <c r="Y216" s="409"/>
      <c r="Z216" s="409"/>
      <c r="AA216" s="409"/>
      <c r="AB216" s="409"/>
      <c r="AC216" s="409"/>
      <c r="AD216" s="409"/>
      <c r="AE216" s="409"/>
      <c r="AF216" s="409"/>
      <c r="AG216" s="409"/>
      <c r="AH216" s="409"/>
      <c r="AI216" s="409"/>
      <c r="AJ216" s="409"/>
      <c r="AK216" s="409"/>
      <c r="AL216" s="409"/>
      <c r="AM216" s="409"/>
      <c r="AN216" s="409"/>
      <c r="AO216" s="409"/>
      <c r="AP216" s="409"/>
      <c r="AQ216" s="409"/>
    </row>
    <row r="217" spans="20:43">
      <c r="T217" s="409"/>
      <c r="U217" s="409"/>
      <c r="V217" s="409"/>
      <c r="W217" s="409"/>
      <c r="X217" s="409"/>
      <c r="Y217" s="409"/>
      <c r="Z217" s="409"/>
      <c r="AA217" s="409"/>
      <c r="AB217" s="409"/>
      <c r="AC217" s="409"/>
      <c r="AD217" s="409"/>
      <c r="AE217" s="409"/>
      <c r="AF217" s="409"/>
      <c r="AG217" s="409"/>
      <c r="AH217" s="409"/>
      <c r="AI217" s="409"/>
      <c r="AJ217" s="409"/>
      <c r="AK217" s="409"/>
      <c r="AL217" s="409"/>
      <c r="AM217" s="409"/>
      <c r="AN217" s="409"/>
      <c r="AO217" s="409"/>
      <c r="AP217" s="409"/>
      <c r="AQ217" s="409"/>
    </row>
    <row r="218" spans="20:43">
      <c r="T218" s="409"/>
      <c r="U218" s="409"/>
      <c r="V218" s="409"/>
      <c r="W218" s="409"/>
      <c r="X218" s="409"/>
      <c r="Y218" s="409"/>
      <c r="Z218" s="409"/>
      <c r="AA218" s="409"/>
      <c r="AB218" s="409"/>
      <c r="AC218" s="409"/>
      <c r="AD218" s="409"/>
      <c r="AE218" s="409"/>
      <c r="AF218" s="409"/>
      <c r="AG218" s="409"/>
      <c r="AH218" s="409"/>
      <c r="AI218" s="409"/>
      <c r="AJ218" s="409"/>
      <c r="AK218" s="409"/>
      <c r="AL218" s="409"/>
      <c r="AM218" s="409"/>
      <c r="AN218" s="409"/>
      <c r="AO218" s="409"/>
      <c r="AP218" s="409"/>
      <c r="AQ218" s="409"/>
    </row>
    <row r="219" spans="20:43">
      <c r="T219" s="409"/>
      <c r="U219" s="409"/>
      <c r="V219" s="409"/>
      <c r="W219" s="409"/>
      <c r="X219" s="409"/>
      <c r="Y219" s="409"/>
      <c r="Z219" s="409"/>
      <c r="AA219" s="409"/>
      <c r="AB219" s="409"/>
      <c r="AC219" s="409"/>
      <c r="AD219" s="409"/>
      <c r="AE219" s="409"/>
      <c r="AF219" s="409"/>
      <c r="AG219" s="409"/>
      <c r="AH219" s="409"/>
      <c r="AI219" s="409"/>
      <c r="AJ219" s="409"/>
      <c r="AK219" s="409"/>
      <c r="AL219" s="409"/>
      <c r="AM219" s="409"/>
      <c r="AN219" s="409"/>
      <c r="AO219" s="409"/>
      <c r="AP219" s="409"/>
      <c r="AQ219" s="409"/>
    </row>
    <row r="220" spans="20:43">
      <c r="T220" s="409"/>
      <c r="U220" s="409"/>
      <c r="V220" s="409"/>
      <c r="W220" s="409"/>
      <c r="X220" s="409"/>
      <c r="Y220" s="409"/>
      <c r="Z220" s="409"/>
      <c r="AA220" s="409"/>
      <c r="AB220" s="409"/>
      <c r="AC220" s="409"/>
      <c r="AD220" s="409"/>
      <c r="AE220" s="409"/>
      <c r="AF220" s="409"/>
      <c r="AG220" s="409"/>
      <c r="AH220" s="409"/>
      <c r="AI220" s="409"/>
      <c r="AJ220" s="409"/>
      <c r="AK220" s="409"/>
      <c r="AL220" s="409"/>
      <c r="AM220" s="409"/>
      <c r="AN220" s="409"/>
      <c r="AO220" s="409"/>
      <c r="AP220" s="409"/>
      <c r="AQ220" s="409"/>
    </row>
    <row r="221" spans="20:43">
      <c r="T221" s="409"/>
      <c r="U221" s="409"/>
      <c r="V221" s="409"/>
      <c r="W221" s="409"/>
      <c r="X221" s="409"/>
      <c r="Y221" s="409"/>
      <c r="Z221" s="409"/>
      <c r="AA221" s="409"/>
      <c r="AB221" s="409"/>
      <c r="AC221" s="409"/>
      <c r="AD221" s="409"/>
      <c r="AE221" s="409"/>
      <c r="AF221" s="409"/>
      <c r="AG221" s="409"/>
      <c r="AH221" s="409"/>
      <c r="AI221" s="409"/>
      <c r="AJ221" s="409"/>
      <c r="AK221" s="409"/>
      <c r="AL221" s="409"/>
      <c r="AM221" s="409"/>
      <c r="AN221" s="409"/>
      <c r="AO221" s="409"/>
      <c r="AP221" s="409"/>
      <c r="AQ221" s="409"/>
    </row>
    <row r="222" spans="20:43">
      <c r="T222" s="409"/>
      <c r="U222" s="409"/>
      <c r="V222" s="409"/>
      <c r="W222" s="409"/>
      <c r="X222" s="409"/>
      <c r="Y222" s="409"/>
      <c r="Z222" s="409"/>
      <c r="AA222" s="409"/>
      <c r="AB222" s="409"/>
      <c r="AC222" s="409"/>
      <c r="AD222" s="409"/>
      <c r="AE222" s="409"/>
      <c r="AF222" s="409"/>
      <c r="AG222" s="409"/>
      <c r="AH222" s="409"/>
      <c r="AI222" s="409"/>
      <c r="AJ222" s="409"/>
      <c r="AK222" s="409"/>
      <c r="AL222" s="409"/>
      <c r="AM222" s="409"/>
      <c r="AN222" s="409"/>
      <c r="AO222" s="409"/>
      <c r="AP222" s="409"/>
      <c r="AQ222" s="409"/>
    </row>
    <row r="223" spans="20:43">
      <c r="T223" s="409"/>
      <c r="U223" s="409"/>
      <c r="V223" s="409"/>
      <c r="W223" s="409"/>
      <c r="X223" s="409"/>
      <c r="Y223" s="409"/>
      <c r="Z223" s="409"/>
      <c r="AA223" s="409"/>
      <c r="AB223" s="409"/>
      <c r="AC223" s="409"/>
      <c r="AD223" s="409"/>
      <c r="AE223" s="409"/>
      <c r="AF223" s="409"/>
      <c r="AG223" s="409"/>
      <c r="AH223" s="409"/>
      <c r="AI223" s="409"/>
      <c r="AJ223" s="409"/>
      <c r="AK223" s="409"/>
      <c r="AL223" s="409"/>
      <c r="AM223" s="409"/>
      <c r="AN223" s="409"/>
      <c r="AO223" s="409"/>
      <c r="AP223" s="409"/>
      <c r="AQ223" s="409"/>
    </row>
    <row r="224" spans="20:43">
      <c r="T224" s="409"/>
      <c r="U224" s="409"/>
      <c r="V224" s="409"/>
      <c r="W224" s="409"/>
      <c r="X224" s="409"/>
      <c r="Y224" s="409"/>
      <c r="Z224" s="409"/>
      <c r="AA224" s="409"/>
      <c r="AB224" s="409"/>
      <c r="AC224" s="409"/>
      <c r="AD224" s="409"/>
      <c r="AE224" s="409"/>
      <c r="AF224" s="409"/>
      <c r="AG224" s="409"/>
      <c r="AH224" s="409"/>
      <c r="AI224" s="409"/>
      <c r="AJ224" s="409"/>
      <c r="AK224" s="409"/>
      <c r="AL224" s="409"/>
      <c r="AM224" s="409"/>
      <c r="AN224" s="409"/>
      <c r="AO224" s="409"/>
      <c r="AP224" s="409"/>
      <c r="AQ224" s="409"/>
    </row>
    <row r="225" spans="20:43">
      <c r="T225" s="409"/>
      <c r="U225" s="409"/>
      <c r="V225" s="409"/>
      <c r="W225" s="409"/>
      <c r="X225" s="409"/>
      <c r="Y225" s="409"/>
      <c r="Z225" s="409"/>
      <c r="AA225" s="409"/>
      <c r="AB225" s="409"/>
      <c r="AC225" s="409"/>
      <c r="AD225" s="409"/>
      <c r="AE225" s="409"/>
      <c r="AF225" s="409"/>
      <c r="AG225" s="409"/>
      <c r="AH225" s="409"/>
      <c r="AI225" s="409"/>
      <c r="AJ225" s="409"/>
      <c r="AK225" s="409"/>
      <c r="AL225" s="409"/>
      <c r="AM225" s="409"/>
      <c r="AN225" s="409"/>
      <c r="AO225" s="409"/>
      <c r="AP225" s="409"/>
      <c r="AQ225" s="409"/>
    </row>
    <row r="226" spans="20:43">
      <c r="T226" s="409"/>
      <c r="U226" s="409"/>
      <c r="V226" s="409"/>
      <c r="W226" s="409"/>
      <c r="X226" s="409"/>
      <c r="Y226" s="409"/>
      <c r="Z226" s="409"/>
      <c r="AA226" s="409"/>
      <c r="AB226" s="409"/>
      <c r="AC226" s="409"/>
      <c r="AD226" s="409"/>
      <c r="AE226" s="409"/>
      <c r="AF226" s="409"/>
      <c r="AG226" s="409"/>
      <c r="AH226" s="409"/>
      <c r="AI226" s="409"/>
      <c r="AJ226" s="409"/>
      <c r="AK226" s="409"/>
      <c r="AL226" s="409"/>
      <c r="AM226" s="409"/>
      <c r="AN226" s="409"/>
      <c r="AO226" s="409"/>
      <c r="AP226" s="409"/>
      <c r="AQ226" s="409"/>
    </row>
    <row r="227" spans="20:43">
      <c r="T227" s="409"/>
      <c r="U227" s="409"/>
      <c r="V227" s="409"/>
      <c r="W227" s="409"/>
      <c r="X227" s="409"/>
      <c r="Y227" s="409"/>
      <c r="Z227" s="409"/>
      <c r="AA227" s="409"/>
      <c r="AB227" s="409"/>
      <c r="AC227" s="409"/>
      <c r="AD227" s="409"/>
      <c r="AE227" s="409"/>
      <c r="AF227" s="409"/>
      <c r="AG227" s="409"/>
      <c r="AH227" s="409"/>
      <c r="AI227" s="409"/>
      <c r="AJ227" s="409"/>
      <c r="AK227" s="409"/>
      <c r="AL227" s="409"/>
      <c r="AM227" s="409"/>
      <c r="AN227" s="409"/>
      <c r="AO227" s="409"/>
      <c r="AP227" s="409"/>
      <c r="AQ227" s="409"/>
    </row>
    <row r="228" spans="20:43">
      <c r="T228" s="409"/>
      <c r="U228" s="409"/>
      <c r="V228" s="409"/>
      <c r="W228" s="409"/>
      <c r="X228" s="409"/>
      <c r="Y228" s="409"/>
      <c r="Z228" s="409"/>
      <c r="AA228" s="409"/>
      <c r="AB228" s="409"/>
      <c r="AC228" s="409"/>
      <c r="AD228" s="409"/>
      <c r="AE228" s="409"/>
      <c r="AF228" s="409"/>
      <c r="AG228" s="409"/>
      <c r="AH228" s="409"/>
      <c r="AI228" s="409"/>
      <c r="AJ228" s="409"/>
      <c r="AK228" s="409"/>
      <c r="AL228" s="409"/>
      <c r="AM228" s="409"/>
      <c r="AN228" s="409"/>
      <c r="AO228" s="409"/>
      <c r="AP228" s="409"/>
      <c r="AQ228" s="409"/>
    </row>
    <row r="229" spans="20:43">
      <c r="T229" s="409"/>
      <c r="U229" s="409"/>
      <c r="V229" s="409"/>
      <c r="W229" s="409"/>
      <c r="X229" s="409"/>
      <c r="Y229" s="409"/>
      <c r="Z229" s="409"/>
      <c r="AA229" s="409"/>
      <c r="AB229" s="409"/>
      <c r="AC229" s="409"/>
      <c r="AD229" s="409"/>
      <c r="AE229" s="409"/>
      <c r="AF229" s="409"/>
      <c r="AG229" s="409"/>
      <c r="AH229" s="409"/>
      <c r="AI229" s="409"/>
      <c r="AJ229" s="409"/>
      <c r="AK229" s="409"/>
      <c r="AL229" s="409"/>
      <c r="AM229" s="409"/>
      <c r="AN229" s="409"/>
      <c r="AO229" s="409"/>
      <c r="AP229" s="409"/>
      <c r="AQ229" s="409"/>
    </row>
    <row r="230" spans="20:43">
      <c r="T230" s="409"/>
      <c r="U230" s="409"/>
      <c r="V230" s="409"/>
      <c r="W230" s="409"/>
      <c r="X230" s="409"/>
      <c r="Y230" s="409"/>
      <c r="Z230" s="409"/>
      <c r="AA230" s="409"/>
      <c r="AB230" s="409"/>
      <c r="AC230" s="409"/>
      <c r="AD230" s="409"/>
      <c r="AE230" s="409"/>
      <c r="AF230" s="409"/>
      <c r="AG230" s="409"/>
      <c r="AH230" s="409"/>
      <c r="AI230" s="409"/>
      <c r="AJ230" s="409"/>
      <c r="AK230" s="409"/>
      <c r="AL230" s="409"/>
      <c r="AM230" s="409"/>
      <c r="AN230" s="409"/>
      <c r="AO230" s="409"/>
      <c r="AP230" s="409"/>
      <c r="AQ230" s="409"/>
    </row>
    <row r="231" spans="20:43">
      <c r="T231" s="409"/>
      <c r="U231" s="409"/>
      <c r="V231" s="409"/>
      <c r="W231" s="409"/>
      <c r="X231" s="409"/>
      <c r="Y231" s="409"/>
      <c r="Z231" s="409"/>
      <c r="AA231" s="409"/>
      <c r="AB231" s="409"/>
      <c r="AC231" s="409"/>
      <c r="AD231" s="409"/>
      <c r="AE231" s="409"/>
      <c r="AF231" s="409"/>
      <c r="AG231" s="409"/>
      <c r="AH231" s="409"/>
      <c r="AI231" s="409"/>
      <c r="AJ231" s="409"/>
      <c r="AK231" s="409"/>
      <c r="AL231" s="409"/>
      <c r="AM231" s="409"/>
      <c r="AN231" s="409"/>
      <c r="AO231" s="409"/>
      <c r="AP231" s="409"/>
      <c r="AQ231" s="409"/>
    </row>
    <row r="232" spans="20:43">
      <c r="T232" s="409"/>
      <c r="U232" s="409"/>
      <c r="V232" s="409"/>
      <c r="W232" s="409"/>
      <c r="X232" s="409"/>
      <c r="Y232" s="409"/>
      <c r="Z232" s="409"/>
      <c r="AA232" s="409"/>
      <c r="AB232" s="409"/>
      <c r="AC232" s="409"/>
      <c r="AD232" s="409"/>
      <c r="AE232" s="409"/>
      <c r="AF232" s="409"/>
      <c r="AG232" s="409"/>
      <c r="AH232" s="409"/>
      <c r="AI232" s="409"/>
      <c r="AJ232" s="409"/>
      <c r="AK232" s="409"/>
      <c r="AL232" s="409"/>
      <c r="AM232" s="409"/>
      <c r="AN232" s="409"/>
      <c r="AO232" s="409"/>
      <c r="AP232" s="409"/>
      <c r="AQ232" s="409"/>
    </row>
    <row r="233" spans="20:43">
      <c r="T233" s="409"/>
      <c r="U233" s="409"/>
      <c r="V233" s="409"/>
      <c r="W233" s="409"/>
      <c r="X233" s="409"/>
      <c r="Y233" s="409"/>
      <c r="Z233" s="409"/>
      <c r="AA233" s="409"/>
      <c r="AB233" s="409"/>
      <c r="AC233" s="409"/>
      <c r="AD233" s="409"/>
      <c r="AE233" s="409"/>
      <c r="AF233" s="409"/>
      <c r="AG233" s="409"/>
      <c r="AH233" s="409"/>
      <c r="AI233" s="409"/>
      <c r="AJ233" s="409"/>
      <c r="AK233" s="409"/>
      <c r="AL233" s="409"/>
      <c r="AM233" s="409"/>
      <c r="AN233" s="409"/>
      <c r="AO233" s="409"/>
      <c r="AP233" s="409"/>
      <c r="AQ233" s="409"/>
    </row>
    <row r="234" spans="20:43">
      <c r="T234" s="409"/>
      <c r="U234" s="409"/>
      <c r="V234" s="409"/>
      <c r="W234" s="409"/>
      <c r="X234" s="409"/>
      <c r="Y234" s="409"/>
      <c r="Z234" s="409"/>
      <c r="AA234" s="409"/>
      <c r="AB234" s="409"/>
      <c r="AC234" s="409"/>
      <c r="AD234" s="409"/>
      <c r="AE234" s="409"/>
      <c r="AF234" s="409"/>
      <c r="AG234" s="409"/>
      <c r="AH234" s="409"/>
      <c r="AI234" s="409"/>
      <c r="AJ234" s="409"/>
      <c r="AK234" s="409"/>
      <c r="AL234" s="409"/>
      <c r="AM234" s="409"/>
      <c r="AN234" s="409"/>
      <c r="AO234" s="409"/>
      <c r="AP234" s="409"/>
      <c r="AQ234" s="409"/>
    </row>
    <row r="235" spans="20:43">
      <c r="T235" s="409"/>
      <c r="U235" s="409"/>
      <c r="V235" s="409"/>
      <c r="W235" s="409"/>
      <c r="X235" s="409"/>
      <c r="Y235" s="409"/>
      <c r="Z235" s="409"/>
      <c r="AA235" s="409"/>
      <c r="AB235" s="409"/>
      <c r="AC235" s="409"/>
      <c r="AD235" s="409"/>
      <c r="AE235" s="409"/>
      <c r="AF235" s="409"/>
      <c r="AG235" s="409"/>
      <c r="AH235" s="409"/>
      <c r="AI235" s="409"/>
      <c r="AJ235" s="409"/>
      <c r="AK235" s="409"/>
      <c r="AL235" s="409"/>
      <c r="AM235" s="409"/>
      <c r="AN235" s="409"/>
      <c r="AO235" s="409"/>
      <c r="AP235" s="409"/>
      <c r="AQ235" s="409"/>
    </row>
    <row r="236" spans="20:43">
      <c r="T236" s="409"/>
      <c r="U236" s="409"/>
      <c r="V236" s="409"/>
      <c r="W236" s="409"/>
      <c r="X236" s="409"/>
      <c r="Y236" s="409"/>
      <c r="Z236" s="409"/>
      <c r="AA236" s="409"/>
      <c r="AB236" s="409"/>
      <c r="AC236" s="409"/>
      <c r="AD236" s="409"/>
      <c r="AE236" s="409"/>
      <c r="AF236" s="409"/>
      <c r="AG236" s="409"/>
      <c r="AH236" s="409"/>
      <c r="AI236" s="409"/>
      <c r="AJ236" s="409"/>
      <c r="AK236" s="409"/>
      <c r="AL236" s="409"/>
      <c r="AM236" s="409"/>
      <c r="AN236" s="409"/>
      <c r="AO236" s="409"/>
      <c r="AP236" s="409"/>
      <c r="AQ236" s="409"/>
    </row>
    <row r="237" spans="20:43">
      <c r="T237" s="409"/>
      <c r="U237" s="409"/>
      <c r="V237" s="409"/>
      <c r="W237" s="409"/>
      <c r="X237" s="409"/>
      <c r="Y237" s="409"/>
      <c r="Z237" s="409"/>
      <c r="AA237" s="409"/>
      <c r="AB237" s="409"/>
      <c r="AC237" s="409"/>
      <c r="AD237" s="409"/>
      <c r="AE237" s="409"/>
      <c r="AF237" s="409"/>
      <c r="AG237" s="409"/>
      <c r="AH237" s="409"/>
      <c r="AI237" s="409"/>
      <c r="AJ237" s="409"/>
      <c r="AK237" s="409"/>
      <c r="AL237" s="409"/>
      <c r="AM237" s="409"/>
      <c r="AN237" s="409"/>
      <c r="AO237" s="409"/>
      <c r="AP237" s="409"/>
      <c r="AQ237" s="409"/>
    </row>
    <row r="238" spans="20:43">
      <c r="T238" s="409"/>
      <c r="U238" s="409"/>
      <c r="V238" s="409"/>
      <c r="W238" s="409"/>
      <c r="X238" s="409"/>
      <c r="Y238" s="409"/>
      <c r="Z238" s="409"/>
      <c r="AA238" s="409"/>
      <c r="AB238" s="409"/>
      <c r="AC238" s="409"/>
      <c r="AD238" s="409"/>
      <c r="AE238" s="409"/>
      <c r="AF238" s="409"/>
      <c r="AG238" s="409"/>
      <c r="AH238" s="409"/>
      <c r="AI238" s="409"/>
      <c r="AJ238" s="409"/>
      <c r="AK238" s="409"/>
      <c r="AL238" s="409"/>
      <c r="AM238" s="409"/>
      <c r="AN238" s="409"/>
      <c r="AO238" s="409"/>
      <c r="AP238" s="409"/>
      <c r="AQ238" s="409"/>
    </row>
    <row r="239" spans="20:43">
      <c r="T239" s="409"/>
      <c r="U239" s="409"/>
      <c r="V239" s="409"/>
      <c r="W239" s="409"/>
      <c r="X239" s="409"/>
      <c r="Y239" s="409"/>
      <c r="Z239" s="409"/>
      <c r="AA239" s="409"/>
      <c r="AB239" s="409"/>
      <c r="AC239" s="409"/>
      <c r="AD239" s="409"/>
      <c r="AE239" s="409"/>
      <c r="AF239" s="409"/>
      <c r="AG239" s="409"/>
      <c r="AH239" s="409"/>
      <c r="AI239" s="409"/>
      <c r="AJ239" s="409"/>
      <c r="AK239" s="409"/>
      <c r="AL239" s="409"/>
      <c r="AM239" s="409"/>
      <c r="AN239" s="409"/>
      <c r="AO239" s="409"/>
      <c r="AP239" s="409"/>
      <c r="AQ239" s="409"/>
    </row>
    <row r="240" spans="20:43">
      <c r="T240" s="409"/>
      <c r="U240" s="409"/>
      <c r="V240" s="409"/>
      <c r="W240" s="409"/>
      <c r="X240" s="409"/>
      <c r="Y240" s="409"/>
      <c r="Z240" s="409"/>
      <c r="AA240" s="409"/>
      <c r="AB240" s="409"/>
      <c r="AC240" s="409"/>
      <c r="AD240" s="409"/>
      <c r="AE240" s="409"/>
      <c r="AF240" s="409"/>
      <c r="AG240" s="409"/>
      <c r="AH240" s="409"/>
      <c r="AI240" s="409"/>
      <c r="AJ240" s="409"/>
      <c r="AK240" s="409"/>
      <c r="AL240" s="409"/>
      <c r="AM240" s="409"/>
      <c r="AN240" s="409"/>
      <c r="AO240" s="409"/>
      <c r="AP240" s="409"/>
      <c r="AQ240" s="409"/>
    </row>
    <row r="241" spans="20:43">
      <c r="T241" s="409"/>
      <c r="U241" s="409"/>
      <c r="V241" s="409"/>
      <c r="W241" s="409"/>
      <c r="X241" s="409"/>
      <c r="Y241" s="409"/>
      <c r="Z241" s="409"/>
      <c r="AA241" s="409"/>
      <c r="AB241" s="409"/>
      <c r="AC241" s="409"/>
      <c r="AD241" s="409"/>
      <c r="AE241" s="409"/>
      <c r="AF241" s="409"/>
      <c r="AG241" s="409"/>
      <c r="AH241" s="409"/>
      <c r="AI241" s="409"/>
      <c r="AJ241" s="409"/>
      <c r="AK241" s="409"/>
      <c r="AL241" s="409"/>
      <c r="AM241" s="409"/>
      <c r="AN241" s="409"/>
      <c r="AO241" s="409"/>
      <c r="AP241" s="409"/>
      <c r="AQ241" s="409"/>
    </row>
    <row r="242" spans="20:43">
      <c r="T242" s="409"/>
      <c r="U242" s="409"/>
      <c r="V242" s="409"/>
      <c r="W242" s="409"/>
      <c r="X242" s="409"/>
      <c r="Y242" s="409"/>
      <c r="Z242" s="409"/>
      <c r="AA242" s="409"/>
      <c r="AB242" s="409"/>
      <c r="AC242" s="409"/>
      <c r="AD242" s="409"/>
      <c r="AE242" s="409"/>
      <c r="AF242" s="409"/>
      <c r="AG242" s="409"/>
      <c r="AH242" s="409"/>
      <c r="AI242" s="409"/>
      <c r="AJ242" s="409"/>
      <c r="AK242" s="409"/>
      <c r="AL242" s="409"/>
      <c r="AM242" s="409"/>
      <c r="AN242" s="409"/>
      <c r="AO242" s="409"/>
      <c r="AP242" s="409"/>
      <c r="AQ242" s="409"/>
    </row>
    <row r="243" spans="20:43">
      <c r="T243" s="409"/>
      <c r="U243" s="409"/>
      <c r="V243" s="409"/>
      <c r="W243" s="409"/>
      <c r="X243" s="409"/>
      <c r="Y243" s="409"/>
      <c r="Z243" s="409"/>
      <c r="AA243" s="409"/>
      <c r="AB243" s="409"/>
      <c r="AC243" s="409"/>
      <c r="AD243" s="409"/>
      <c r="AE243" s="409"/>
      <c r="AF243" s="409"/>
      <c r="AG243" s="409"/>
      <c r="AH243" s="409"/>
      <c r="AI243" s="409"/>
      <c r="AJ243" s="409"/>
      <c r="AK243" s="409"/>
      <c r="AL243" s="409"/>
      <c r="AM243" s="409"/>
      <c r="AN243" s="409"/>
      <c r="AO243" s="409"/>
      <c r="AP243" s="409"/>
      <c r="AQ243" s="409"/>
    </row>
    <row r="244" spans="20:43">
      <c r="T244" s="409"/>
      <c r="U244" s="409"/>
      <c r="V244" s="409"/>
      <c r="W244" s="409"/>
      <c r="X244" s="409"/>
      <c r="Y244" s="409"/>
      <c r="Z244" s="409"/>
      <c r="AA244" s="409"/>
      <c r="AB244" s="409"/>
      <c r="AC244" s="409"/>
      <c r="AD244" s="409"/>
      <c r="AE244" s="409"/>
      <c r="AF244" s="409"/>
      <c r="AG244" s="409"/>
      <c r="AH244" s="409"/>
      <c r="AI244" s="409"/>
      <c r="AJ244" s="409"/>
      <c r="AK244" s="409"/>
      <c r="AL244" s="409"/>
      <c r="AM244" s="409"/>
      <c r="AN244" s="409"/>
      <c r="AO244" s="409"/>
      <c r="AP244" s="409"/>
      <c r="AQ244" s="409"/>
    </row>
    <row r="245" spans="20:43">
      <c r="T245" s="409"/>
      <c r="U245" s="409"/>
      <c r="V245" s="409"/>
      <c r="W245" s="409"/>
      <c r="X245" s="409"/>
      <c r="Y245" s="409"/>
      <c r="Z245" s="409"/>
      <c r="AA245" s="409"/>
      <c r="AB245" s="409"/>
      <c r="AC245" s="409"/>
      <c r="AD245" s="409"/>
      <c r="AE245" s="409"/>
      <c r="AF245" s="409"/>
      <c r="AG245" s="409"/>
      <c r="AH245" s="409"/>
      <c r="AI245" s="409"/>
      <c r="AJ245" s="409"/>
      <c r="AK245" s="409"/>
      <c r="AL245" s="409"/>
      <c r="AM245" s="409"/>
      <c r="AN245" s="409"/>
      <c r="AO245" s="409"/>
      <c r="AP245" s="409"/>
      <c r="AQ245" s="409"/>
    </row>
    <row r="246" spans="20:43">
      <c r="T246" s="409"/>
      <c r="U246" s="409"/>
      <c r="V246" s="409"/>
      <c r="W246" s="409"/>
      <c r="X246" s="409"/>
      <c r="Y246" s="409"/>
      <c r="Z246" s="409"/>
      <c r="AA246" s="409"/>
      <c r="AB246" s="409"/>
      <c r="AC246" s="409"/>
      <c r="AD246" s="409"/>
      <c r="AE246" s="409"/>
      <c r="AF246" s="409"/>
      <c r="AG246" s="409"/>
      <c r="AH246" s="409"/>
      <c r="AI246" s="409"/>
      <c r="AJ246" s="409"/>
      <c r="AK246" s="409"/>
      <c r="AL246" s="409"/>
      <c r="AM246" s="409"/>
      <c r="AN246" s="409"/>
      <c r="AO246" s="409"/>
      <c r="AP246" s="409"/>
      <c r="AQ246" s="409"/>
    </row>
    <row r="247" spans="20:43">
      <c r="T247" s="409"/>
      <c r="U247" s="409"/>
      <c r="V247" s="409"/>
      <c r="W247" s="409"/>
      <c r="X247" s="409"/>
      <c r="Y247" s="409"/>
      <c r="Z247" s="409"/>
      <c r="AA247" s="409"/>
      <c r="AB247" s="409"/>
      <c r="AC247" s="409"/>
      <c r="AD247" s="409"/>
      <c r="AE247" s="409"/>
      <c r="AF247" s="409"/>
      <c r="AG247" s="409"/>
      <c r="AH247" s="409"/>
      <c r="AI247" s="409"/>
      <c r="AJ247" s="409"/>
      <c r="AK247" s="409"/>
      <c r="AL247" s="409"/>
      <c r="AM247" s="409"/>
      <c r="AN247" s="409"/>
      <c r="AO247" s="409"/>
      <c r="AP247" s="409"/>
      <c r="AQ247" s="409"/>
    </row>
    <row r="248" spans="20:43">
      <c r="T248" s="409"/>
      <c r="U248" s="409"/>
      <c r="V248" s="409"/>
      <c r="W248" s="409"/>
      <c r="X248" s="409"/>
      <c r="Y248" s="409"/>
      <c r="Z248" s="409"/>
      <c r="AA248" s="409"/>
      <c r="AB248" s="409"/>
      <c r="AC248" s="409"/>
      <c r="AD248" s="409"/>
      <c r="AE248" s="409"/>
      <c r="AF248" s="409"/>
      <c r="AG248" s="409"/>
      <c r="AH248" s="409"/>
      <c r="AI248" s="409"/>
      <c r="AJ248" s="409"/>
      <c r="AK248" s="409"/>
      <c r="AL248" s="409"/>
      <c r="AM248" s="409"/>
      <c r="AN248" s="409"/>
      <c r="AO248" s="409"/>
      <c r="AP248" s="409"/>
      <c r="AQ248" s="409"/>
    </row>
    <row r="249" spans="20:43">
      <c r="T249" s="409"/>
      <c r="U249" s="409"/>
      <c r="V249" s="409"/>
      <c r="W249" s="409"/>
      <c r="X249" s="409"/>
      <c r="Y249" s="409"/>
      <c r="Z249" s="409"/>
      <c r="AA249" s="409"/>
      <c r="AB249" s="409"/>
      <c r="AC249" s="409"/>
      <c r="AD249" s="409"/>
      <c r="AE249" s="409"/>
      <c r="AF249" s="409"/>
      <c r="AG249" s="409"/>
      <c r="AH249" s="409"/>
      <c r="AI249" s="409"/>
      <c r="AJ249" s="409"/>
      <c r="AK249" s="409"/>
      <c r="AL249" s="409"/>
      <c r="AM249" s="409"/>
      <c r="AN249" s="409"/>
      <c r="AO249" s="409"/>
      <c r="AP249" s="409"/>
      <c r="AQ249" s="409"/>
    </row>
    <row r="250" spans="20:43">
      <c r="T250" s="409"/>
      <c r="U250" s="409"/>
      <c r="V250" s="409"/>
      <c r="W250" s="409"/>
      <c r="X250" s="409"/>
      <c r="Y250" s="409"/>
      <c r="Z250" s="409"/>
      <c r="AA250" s="409"/>
      <c r="AB250" s="409"/>
      <c r="AC250" s="409"/>
      <c r="AD250" s="409"/>
      <c r="AE250" s="409"/>
      <c r="AF250" s="409"/>
      <c r="AG250" s="409"/>
      <c r="AH250" s="409"/>
      <c r="AI250" s="409"/>
      <c r="AJ250" s="409"/>
      <c r="AK250" s="409"/>
      <c r="AL250" s="409"/>
      <c r="AM250" s="409"/>
      <c r="AN250" s="409"/>
      <c r="AO250" s="409"/>
      <c r="AP250" s="409"/>
      <c r="AQ250" s="409"/>
    </row>
    <row r="251" spans="20:43">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row>
    <row r="252" spans="20:43">
      <c r="T252" s="409"/>
      <c r="U252" s="409"/>
      <c r="V252" s="409"/>
      <c r="W252" s="409"/>
      <c r="X252" s="409"/>
      <c r="Y252" s="409"/>
      <c r="Z252" s="409"/>
      <c r="AA252" s="409"/>
      <c r="AB252" s="409"/>
      <c r="AC252" s="409"/>
      <c r="AD252" s="409"/>
      <c r="AE252" s="409"/>
      <c r="AF252" s="409"/>
      <c r="AG252" s="409"/>
      <c r="AH252" s="409"/>
      <c r="AI252" s="409"/>
      <c r="AJ252" s="409"/>
      <c r="AK252" s="409"/>
      <c r="AL252" s="409"/>
      <c r="AM252" s="409"/>
      <c r="AN252" s="409"/>
      <c r="AO252" s="409"/>
      <c r="AP252" s="409"/>
      <c r="AQ252" s="409"/>
    </row>
    <row r="253" spans="20:43">
      <c r="T253" s="409"/>
      <c r="U253" s="409"/>
      <c r="V253" s="409"/>
      <c r="W253" s="409"/>
      <c r="X253" s="409"/>
      <c r="Y253" s="409"/>
      <c r="Z253" s="409"/>
      <c r="AA253" s="409"/>
      <c r="AB253" s="409"/>
      <c r="AC253" s="409"/>
      <c r="AD253" s="409"/>
      <c r="AE253" s="409"/>
      <c r="AF253" s="409"/>
      <c r="AG253" s="409"/>
      <c r="AH253" s="409"/>
      <c r="AI253" s="409"/>
      <c r="AJ253" s="409"/>
      <c r="AK253" s="409"/>
      <c r="AL253" s="409"/>
      <c r="AM253" s="409"/>
      <c r="AN253" s="409"/>
      <c r="AO253" s="409"/>
      <c r="AP253" s="409"/>
      <c r="AQ253" s="409"/>
    </row>
    <row r="254" spans="20:43">
      <c r="T254" s="409"/>
      <c r="U254" s="409"/>
      <c r="V254" s="409"/>
      <c r="W254" s="409"/>
      <c r="X254" s="409"/>
      <c r="Y254" s="409"/>
      <c r="Z254" s="409"/>
      <c r="AA254" s="409"/>
      <c r="AB254" s="409"/>
      <c r="AC254" s="409"/>
      <c r="AD254" s="409"/>
      <c r="AE254" s="409"/>
      <c r="AF254" s="409"/>
      <c r="AG254" s="409"/>
      <c r="AH254" s="409"/>
      <c r="AI254" s="409"/>
      <c r="AJ254" s="409"/>
      <c r="AK254" s="409"/>
      <c r="AL254" s="409"/>
      <c r="AM254" s="409"/>
      <c r="AN254" s="409"/>
      <c r="AO254" s="409"/>
      <c r="AP254" s="409"/>
      <c r="AQ254" s="409"/>
    </row>
    <row r="255" spans="20:43">
      <c r="T255" s="409"/>
      <c r="U255" s="409"/>
      <c r="V255" s="409"/>
      <c r="W255" s="409"/>
      <c r="X255" s="409"/>
      <c r="Y255" s="409"/>
      <c r="Z255" s="409"/>
      <c r="AA255" s="409"/>
      <c r="AB255" s="409"/>
      <c r="AC255" s="409"/>
      <c r="AD255" s="409"/>
      <c r="AE255" s="409"/>
      <c r="AF255" s="409"/>
      <c r="AG255" s="409"/>
      <c r="AH255" s="409"/>
      <c r="AI255" s="409"/>
      <c r="AJ255" s="409"/>
      <c r="AK255" s="409"/>
      <c r="AL255" s="409"/>
      <c r="AM255" s="409"/>
      <c r="AN255" s="409"/>
      <c r="AO255" s="409"/>
      <c r="AP255" s="409"/>
      <c r="AQ255" s="409"/>
    </row>
    <row r="256" spans="20:43">
      <c r="T256" s="409"/>
      <c r="U256" s="409"/>
      <c r="V256" s="409"/>
      <c r="W256" s="409"/>
      <c r="X256" s="409"/>
      <c r="Y256" s="409"/>
      <c r="Z256" s="409"/>
      <c r="AA256" s="409"/>
      <c r="AB256" s="409"/>
      <c r="AC256" s="409"/>
      <c r="AD256" s="409"/>
      <c r="AE256" s="409"/>
      <c r="AF256" s="409"/>
      <c r="AG256" s="409"/>
      <c r="AH256" s="409"/>
      <c r="AI256" s="409"/>
      <c r="AJ256" s="409"/>
      <c r="AK256" s="409"/>
      <c r="AL256" s="409"/>
      <c r="AM256" s="409"/>
      <c r="AN256" s="409"/>
      <c r="AO256" s="409"/>
      <c r="AP256" s="409"/>
      <c r="AQ256" s="409"/>
    </row>
    <row r="257" spans="20:43">
      <c r="T257" s="409"/>
      <c r="U257" s="409"/>
      <c r="V257" s="409"/>
      <c r="W257" s="409"/>
      <c r="X257" s="409"/>
      <c r="Y257" s="409"/>
      <c r="Z257" s="409"/>
      <c r="AA257" s="409"/>
      <c r="AB257" s="409"/>
      <c r="AC257" s="409"/>
      <c r="AD257" s="409"/>
      <c r="AE257" s="409"/>
      <c r="AF257" s="409"/>
      <c r="AG257" s="409"/>
      <c r="AH257" s="409"/>
      <c r="AI257" s="409"/>
      <c r="AJ257" s="409"/>
      <c r="AK257" s="409"/>
      <c r="AL257" s="409"/>
      <c r="AM257" s="409"/>
      <c r="AN257" s="409"/>
      <c r="AO257" s="409"/>
      <c r="AP257" s="409"/>
      <c r="AQ257" s="409"/>
    </row>
    <row r="258" spans="20:43">
      <c r="T258" s="409"/>
      <c r="U258" s="409"/>
      <c r="V258" s="409"/>
      <c r="W258" s="409"/>
      <c r="X258" s="409"/>
      <c r="Y258" s="409"/>
      <c r="Z258" s="409"/>
      <c r="AA258" s="409"/>
      <c r="AB258" s="409"/>
      <c r="AC258" s="409"/>
      <c r="AD258" s="409"/>
      <c r="AE258" s="409"/>
      <c r="AF258" s="409"/>
      <c r="AG258" s="409"/>
      <c r="AH258" s="409"/>
      <c r="AI258" s="409"/>
      <c r="AJ258" s="409"/>
      <c r="AK258" s="409"/>
      <c r="AL258" s="409"/>
      <c r="AM258" s="409"/>
      <c r="AN258" s="409"/>
      <c r="AO258" s="409"/>
      <c r="AP258" s="409"/>
      <c r="AQ258" s="409"/>
    </row>
    <row r="259" spans="20:43">
      <c r="T259" s="409"/>
      <c r="U259" s="409"/>
      <c r="V259" s="409"/>
      <c r="W259" s="409"/>
      <c r="X259" s="409"/>
      <c r="Y259" s="409"/>
      <c r="Z259" s="409"/>
      <c r="AA259" s="409"/>
      <c r="AB259" s="409"/>
      <c r="AC259" s="409"/>
      <c r="AD259" s="409"/>
      <c r="AE259" s="409"/>
      <c r="AF259" s="409"/>
      <c r="AG259" s="409"/>
      <c r="AH259" s="409"/>
      <c r="AI259" s="409"/>
      <c r="AJ259" s="409"/>
      <c r="AK259" s="409"/>
      <c r="AL259" s="409"/>
      <c r="AM259" s="409"/>
      <c r="AN259" s="409"/>
      <c r="AO259" s="409"/>
      <c r="AP259" s="409"/>
      <c r="AQ259" s="409"/>
    </row>
    <row r="260" spans="20:43">
      <c r="T260" s="409"/>
      <c r="U260" s="409"/>
      <c r="V260" s="409"/>
      <c r="W260" s="409"/>
      <c r="X260" s="409"/>
      <c r="Y260" s="409"/>
      <c r="Z260" s="409"/>
      <c r="AA260" s="409"/>
      <c r="AB260" s="409"/>
      <c r="AC260" s="409"/>
      <c r="AD260" s="409"/>
      <c r="AE260" s="409"/>
      <c r="AF260" s="409"/>
      <c r="AG260" s="409"/>
      <c r="AH260" s="409"/>
      <c r="AI260" s="409"/>
      <c r="AJ260" s="409"/>
      <c r="AK260" s="409"/>
      <c r="AL260" s="409"/>
      <c r="AM260" s="409"/>
      <c r="AN260" s="409"/>
      <c r="AO260" s="409"/>
      <c r="AP260" s="409"/>
      <c r="AQ260" s="409"/>
    </row>
    <row r="261" spans="20:43">
      <c r="T261" s="409"/>
      <c r="U261" s="409"/>
      <c r="V261" s="409"/>
      <c r="W261" s="409"/>
      <c r="X261" s="409"/>
      <c r="Y261" s="409"/>
      <c r="Z261" s="409"/>
      <c r="AA261" s="409"/>
      <c r="AB261" s="409"/>
      <c r="AC261" s="409"/>
      <c r="AD261" s="409"/>
      <c r="AE261" s="409"/>
      <c r="AF261" s="409"/>
      <c r="AG261" s="409"/>
      <c r="AH261" s="409"/>
      <c r="AI261" s="409"/>
      <c r="AJ261" s="409"/>
      <c r="AK261" s="409"/>
      <c r="AL261" s="409"/>
      <c r="AM261" s="409"/>
      <c r="AN261" s="409"/>
      <c r="AO261" s="409"/>
      <c r="AP261" s="409"/>
      <c r="AQ261" s="409"/>
    </row>
    <row r="262" spans="20:43">
      <c r="T262" s="409"/>
      <c r="U262" s="409"/>
      <c r="V262" s="409"/>
      <c r="W262" s="409"/>
      <c r="X262" s="409"/>
      <c r="Y262" s="409"/>
      <c r="Z262" s="409"/>
      <c r="AA262" s="409"/>
      <c r="AB262" s="409"/>
      <c r="AC262" s="409"/>
      <c r="AD262" s="409"/>
      <c r="AE262" s="409"/>
      <c r="AF262" s="409"/>
      <c r="AG262" s="409"/>
      <c r="AH262" s="409"/>
      <c r="AI262" s="409"/>
      <c r="AJ262" s="409"/>
      <c r="AK262" s="409"/>
      <c r="AL262" s="409"/>
      <c r="AM262" s="409"/>
      <c r="AN262" s="409"/>
      <c r="AO262" s="409"/>
      <c r="AP262" s="409"/>
      <c r="AQ262" s="409"/>
    </row>
    <row r="263" spans="20:43">
      <c r="T263" s="409"/>
      <c r="U263" s="409"/>
      <c r="V263" s="409"/>
      <c r="W263" s="409"/>
      <c r="X263" s="409"/>
      <c r="Y263" s="409"/>
      <c r="Z263" s="409"/>
      <c r="AA263" s="409"/>
      <c r="AB263" s="409"/>
      <c r="AC263" s="409"/>
      <c r="AD263" s="409"/>
      <c r="AE263" s="409"/>
      <c r="AF263" s="409"/>
      <c r="AG263" s="409"/>
      <c r="AH263" s="409"/>
      <c r="AI263" s="409"/>
      <c r="AJ263" s="409"/>
      <c r="AK263" s="409"/>
      <c r="AL263" s="409"/>
      <c r="AM263" s="409"/>
      <c r="AN263" s="409"/>
      <c r="AO263" s="409"/>
      <c r="AP263" s="409"/>
      <c r="AQ263" s="409"/>
    </row>
    <row r="264" spans="20:43">
      <c r="T264" s="409"/>
      <c r="U264" s="409"/>
      <c r="V264" s="409"/>
      <c r="W264" s="409"/>
      <c r="X264" s="409"/>
      <c r="Y264" s="409"/>
      <c r="Z264" s="409"/>
      <c r="AA264" s="409"/>
      <c r="AB264" s="409"/>
      <c r="AC264" s="409"/>
      <c r="AD264" s="409"/>
      <c r="AE264" s="409"/>
      <c r="AF264" s="409"/>
      <c r="AG264" s="409"/>
      <c r="AH264" s="409"/>
      <c r="AI264" s="409"/>
      <c r="AJ264" s="409"/>
      <c r="AK264" s="409"/>
      <c r="AL264" s="409"/>
      <c r="AM264" s="409"/>
      <c r="AN264" s="409"/>
      <c r="AO264" s="409"/>
      <c r="AP264" s="409"/>
      <c r="AQ264" s="409"/>
    </row>
    <row r="265" spans="20:43">
      <c r="T265" s="409"/>
      <c r="U265" s="409"/>
      <c r="V265" s="409"/>
      <c r="W265" s="409"/>
      <c r="X265" s="409"/>
      <c r="Y265" s="409"/>
      <c r="Z265" s="409"/>
      <c r="AA265" s="409"/>
      <c r="AB265" s="409"/>
      <c r="AC265" s="409"/>
      <c r="AD265" s="409"/>
      <c r="AE265" s="409"/>
      <c r="AF265" s="409"/>
      <c r="AG265" s="409"/>
      <c r="AH265" s="409"/>
      <c r="AI265" s="409"/>
      <c r="AJ265" s="409"/>
      <c r="AK265" s="409"/>
      <c r="AL265" s="409"/>
      <c r="AM265" s="409"/>
      <c r="AN265" s="409"/>
      <c r="AO265" s="409"/>
      <c r="AP265" s="409"/>
      <c r="AQ265" s="409"/>
    </row>
    <row r="266" spans="20:43">
      <c r="T266" s="409"/>
      <c r="U266" s="409"/>
      <c r="V266" s="409"/>
      <c r="W266" s="409"/>
      <c r="X266" s="409"/>
      <c r="Y266" s="409"/>
      <c r="Z266" s="409"/>
      <c r="AA266" s="409"/>
      <c r="AB266" s="409"/>
      <c r="AC266" s="409"/>
      <c r="AD266" s="409"/>
      <c r="AE266" s="409"/>
      <c r="AF266" s="409"/>
      <c r="AG266" s="409"/>
      <c r="AH266" s="409"/>
      <c r="AI266" s="409"/>
      <c r="AJ266" s="409"/>
      <c r="AK266" s="409"/>
      <c r="AL266" s="409"/>
      <c r="AM266" s="409"/>
      <c r="AN266" s="409"/>
      <c r="AO266" s="409"/>
      <c r="AP266" s="409"/>
      <c r="AQ266" s="409"/>
    </row>
    <row r="267" spans="20:43">
      <c r="T267" s="409"/>
      <c r="U267" s="409"/>
      <c r="V267" s="409"/>
      <c r="W267" s="409"/>
      <c r="X267" s="409"/>
      <c r="Y267" s="409"/>
      <c r="Z267" s="409"/>
      <c r="AA267" s="409"/>
      <c r="AB267" s="409"/>
      <c r="AC267" s="409"/>
      <c r="AD267" s="409"/>
      <c r="AE267" s="409"/>
      <c r="AF267" s="409"/>
      <c r="AG267" s="409"/>
      <c r="AH267" s="409"/>
      <c r="AI267" s="409"/>
      <c r="AJ267" s="409"/>
      <c r="AK267" s="409"/>
      <c r="AL267" s="409"/>
      <c r="AM267" s="409"/>
      <c r="AN267" s="409"/>
      <c r="AO267" s="409"/>
      <c r="AP267" s="409"/>
      <c r="AQ267" s="409"/>
    </row>
    <row r="268" spans="20:43">
      <c r="T268" s="409"/>
      <c r="U268" s="409"/>
      <c r="V268" s="409"/>
      <c r="W268" s="409"/>
      <c r="X268" s="409"/>
      <c r="Y268" s="409"/>
      <c r="Z268" s="409"/>
      <c r="AA268" s="409"/>
      <c r="AB268" s="409"/>
      <c r="AC268" s="409"/>
      <c r="AD268" s="409"/>
      <c r="AE268" s="409"/>
      <c r="AF268" s="409"/>
      <c r="AG268" s="409"/>
      <c r="AH268" s="409"/>
      <c r="AI268" s="409"/>
      <c r="AJ268" s="409"/>
      <c r="AK268" s="409"/>
      <c r="AL268" s="409"/>
      <c r="AM268" s="409"/>
      <c r="AN268" s="409"/>
      <c r="AO268" s="409"/>
      <c r="AP268" s="409"/>
      <c r="AQ268" s="409"/>
    </row>
    <row r="269" spans="20:43">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row>
    <row r="270" spans="20:43">
      <c r="T270" s="409"/>
      <c r="U270" s="409"/>
      <c r="V270" s="409"/>
      <c r="W270" s="409"/>
      <c r="X270" s="409"/>
      <c r="Y270" s="409"/>
      <c r="Z270" s="409"/>
      <c r="AA270" s="409"/>
      <c r="AB270" s="409"/>
      <c r="AC270" s="409"/>
      <c r="AD270" s="409"/>
      <c r="AE270" s="409"/>
      <c r="AF270" s="409"/>
      <c r="AG270" s="409"/>
      <c r="AH270" s="409"/>
      <c r="AI270" s="409"/>
      <c r="AJ270" s="409"/>
      <c r="AK270" s="409"/>
      <c r="AL270" s="409"/>
      <c r="AM270" s="409"/>
      <c r="AN270" s="409"/>
      <c r="AO270" s="409"/>
      <c r="AP270" s="409"/>
      <c r="AQ270" s="409"/>
    </row>
    <row r="271" spans="20:43">
      <c r="T271" s="409"/>
      <c r="U271" s="409"/>
      <c r="V271" s="409"/>
      <c r="W271" s="409"/>
      <c r="X271" s="409"/>
      <c r="Y271" s="409"/>
      <c r="Z271" s="409"/>
      <c r="AA271" s="409"/>
      <c r="AB271" s="409"/>
      <c r="AC271" s="409"/>
      <c r="AD271" s="409"/>
      <c r="AE271" s="409"/>
      <c r="AF271" s="409"/>
      <c r="AG271" s="409"/>
      <c r="AH271" s="409"/>
      <c r="AI271" s="409"/>
      <c r="AJ271" s="409"/>
      <c r="AK271" s="409"/>
      <c r="AL271" s="409"/>
      <c r="AM271" s="409"/>
      <c r="AN271" s="409"/>
      <c r="AO271" s="409"/>
      <c r="AP271" s="409"/>
      <c r="AQ271" s="409"/>
    </row>
    <row r="272" spans="20:43">
      <c r="T272" s="409"/>
      <c r="U272" s="409"/>
      <c r="V272" s="409"/>
      <c r="W272" s="409"/>
      <c r="X272" s="409"/>
      <c r="Y272" s="409"/>
      <c r="Z272" s="409"/>
      <c r="AA272" s="409"/>
      <c r="AB272" s="409"/>
      <c r="AC272" s="409"/>
      <c r="AD272" s="409"/>
      <c r="AE272" s="409"/>
      <c r="AF272" s="409"/>
      <c r="AG272" s="409"/>
      <c r="AH272" s="409"/>
      <c r="AI272" s="409"/>
      <c r="AJ272" s="409"/>
      <c r="AK272" s="409"/>
      <c r="AL272" s="409"/>
      <c r="AM272" s="409"/>
      <c r="AN272" s="409"/>
      <c r="AO272" s="409"/>
      <c r="AP272" s="409"/>
      <c r="AQ272" s="409"/>
    </row>
    <row r="273" spans="20:43">
      <c r="T273" s="409"/>
      <c r="U273" s="409"/>
      <c r="V273" s="409"/>
      <c r="W273" s="409"/>
      <c r="X273" s="409"/>
      <c r="Y273" s="409"/>
      <c r="Z273" s="409"/>
      <c r="AA273" s="409"/>
      <c r="AB273" s="409"/>
      <c r="AC273" s="409"/>
      <c r="AD273" s="409"/>
      <c r="AE273" s="409"/>
      <c r="AF273" s="409"/>
      <c r="AG273" s="409"/>
      <c r="AH273" s="409"/>
      <c r="AI273" s="409"/>
      <c r="AJ273" s="409"/>
      <c r="AK273" s="409"/>
      <c r="AL273" s="409"/>
      <c r="AM273" s="409"/>
      <c r="AN273" s="409"/>
      <c r="AO273" s="409"/>
      <c r="AP273" s="409"/>
      <c r="AQ273" s="409"/>
    </row>
    <row r="274" spans="20:43">
      <c r="T274" s="409"/>
      <c r="U274" s="409"/>
      <c r="V274" s="409"/>
      <c r="W274" s="409"/>
      <c r="X274" s="409"/>
      <c r="Y274" s="409"/>
      <c r="Z274" s="409"/>
      <c r="AA274" s="409"/>
      <c r="AB274" s="409"/>
      <c r="AC274" s="409"/>
      <c r="AD274" s="409"/>
      <c r="AE274" s="409"/>
      <c r="AF274" s="409"/>
      <c r="AG274" s="409"/>
      <c r="AH274" s="409"/>
      <c r="AI274" s="409"/>
      <c r="AJ274" s="409"/>
      <c r="AK274" s="409"/>
      <c r="AL274" s="409"/>
      <c r="AM274" s="409"/>
      <c r="AN274" s="409"/>
      <c r="AO274" s="409"/>
      <c r="AP274" s="409"/>
      <c r="AQ274" s="409"/>
    </row>
    <row r="275" spans="20:43">
      <c r="T275" s="409"/>
      <c r="U275" s="409"/>
      <c r="V275" s="409"/>
      <c r="W275" s="409"/>
      <c r="X275" s="409"/>
      <c r="Y275" s="409"/>
      <c r="Z275" s="409"/>
      <c r="AA275" s="409"/>
      <c r="AB275" s="409"/>
      <c r="AC275" s="409"/>
      <c r="AD275" s="409"/>
      <c r="AE275" s="409"/>
      <c r="AF275" s="409"/>
      <c r="AG275" s="409"/>
      <c r="AH275" s="409"/>
      <c r="AI275" s="409"/>
      <c r="AJ275" s="409"/>
      <c r="AK275" s="409"/>
      <c r="AL275" s="409"/>
      <c r="AM275" s="409"/>
      <c r="AN275" s="409"/>
      <c r="AO275" s="409"/>
      <c r="AP275" s="409"/>
      <c r="AQ275" s="409"/>
    </row>
    <row r="276" spans="20:43">
      <c r="T276" s="409"/>
      <c r="U276" s="409"/>
      <c r="V276" s="409"/>
      <c r="W276" s="409"/>
      <c r="X276" s="409"/>
      <c r="Y276" s="409"/>
      <c r="Z276" s="409"/>
      <c r="AA276" s="409"/>
      <c r="AB276" s="409"/>
      <c r="AC276" s="409"/>
      <c r="AD276" s="409"/>
      <c r="AE276" s="409"/>
      <c r="AF276" s="409"/>
      <c r="AG276" s="409"/>
      <c r="AH276" s="409"/>
      <c r="AI276" s="409"/>
      <c r="AJ276" s="409"/>
      <c r="AK276" s="409"/>
      <c r="AL276" s="409"/>
      <c r="AM276" s="409"/>
      <c r="AN276" s="409"/>
      <c r="AO276" s="409"/>
      <c r="AP276" s="409"/>
      <c r="AQ276" s="409"/>
    </row>
    <row r="277" spans="20:43">
      <c r="T277" s="409"/>
      <c r="U277" s="409"/>
      <c r="V277" s="409"/>
      <c r="W277" s="409"/>
      <c r="X277" s="409"/>
      <c r="Y277" s="409"/>
      <c r="Z277" s="409"/>
      <c r="AA277" s="409"/>
      <c r="AB277" s="409"/>
      <c r="AC277" s="409"/>
      <c r="AD277" s="409"/>
      <c r="AE277" s="409"/>
      <c r="AF277" s="409"/>
      <c r="AG277" s="409"/>
      <c r="AH277" s="409"/>
      <c r="AI277" s="409"/>
      <c r="AJ277" s="409"/>
      <c r="AK277" s="409"/>
      <c r="AL277" s="409"/>
      <c r="AM277" s="409"/>
      <c r="AN277" s="409"/>
      <c r="AO277" s="409"/>
      <c r="AP277" s="409"/>
      <c r="AQ277" s="409"/>
    </row>
    <row r="278" spans="20:43">
      <c r="T278" s="409"/>
      <c r="U278" s="409"/>
      <c r="V278" s="409"/>
      <c r="W278" s="409"/>
      <c r="X278" s="409"/>
      <c r="Y278" s="409"/>
      <c r="Z278" s="409"/>
      <c r="AA278" s="409"/>
      <c r="AB278" s="409"/>
      <c r="AC278" s="409"/>
      <c r="AD278" s="409"/>
      <c r="AE278" s="409"/>
      <c r="AF278" s="409"/>
      <c r="AG278" s="409"/>
      <c r="AH278" s="409"/>
      <c r="AI278" s="409"/>
      <c r="AJ278" s="409"/>
      <c r="AK278" s="409"/>
      <c r="AL278" s="409"/>
      <c r="AM278" s="409"/>
      <c r="AN278" s="409"/>
      <c r="AO278" s="409"/>
      <c r="AP278" s="409"/>
      <c r="AQ278" s="409"/>
    </row>
    <row r="279" spans="20:43">
      <c r="T279" s="409"/>
      <c r="U279" s="409"/>
      <c r="V279" s="409"/>
      <c r="W279" s="409"/>
      <c r="X279" s="409"/>
      <c r="Y279" s="409"/>
      <c r="Z279" s="409"/>
      <c r="AA279" s="409"/>
      <c r="AB279" s="409"/>
      <c r="AC279" s="409"/>
      <c r="AD279" s="409"/>
      <c r="AE279" s="409"/>
      <c r="AF279" s="409"/>
      <c r="AG279" s="409"/>
      <c r="AH279" s="409"/>
      <c r="AI279" s="409"/>
      <c r="AJ279" s="409"/>
      <c r="AK279" s="409"/>
      <c r="AL279" s="409"/>
      <c r="AM279" s="409"/>
      <c r="AN279" s="409"/>
      <c r="AO279" s="409"/>
      <c r="AP279" s="409"/>
      <c r="AQ279" s="409"/>
    </row>
    <row r="280" spans="20:43">
      <c r="T280" s="409"/>
      <c r="U280" s="409"/>
      <c r="V280" s="409"/>
      <c r="W280" s="409"/>
      <c r="X280" s="409"/>
      <c r="Y280" s="409"/>
      <c r="Z280" s="409"/>
      <c r="AA280" s="409"/>
      <c r="AB280" s="409"/>
      <c r="AC280" s="409"/>
      <c r="AD280" s="409"/>
      <c r="AE280" s="409"/>
      <c r="AF280" s="409"/>
      <c r="AG280" s="409"/>
      <c r="AH280" s="409"/>
      <c r="AI280" s="409"/>
      <c r="AJ280" s="409"/>
      <c r="AK280" s="409"/>
      <c r="AL280" s="409"/>
      <c r="AM280" s="409"/>
      <c r="AN280" s="409"/>
      <c r="AO280" s="409"/>
      <c r="AP280" s="409"/>
      <c r="AQ280" s="409"/>
    </row>
    <row r="281" spans="20:43">
      <c r="T281" s="409"/>
      <c r="U281" s="409"/>
      <c r="V281" s="409"/>
      <c r="W281" s="409"/>
      <c r="X281" s="409"/>
      <c r="Y281" s="409"/>
      <c r="Z281" s="409"/>
      <c r="AA281" s="409"/>
      <c r="AB281" s="409"/>
      <c r="AC281" s="409"/>
      <c r="AD281" s="409"/>
      <c r="AE281" s="409"/>
      <c r="AF281" s="409"/>
      <c r="AG281" s="409"/>
      <c r="AH281" s="409"/>
      <c r="AI281" s="409"/>
      <c r="AJ281" s="409"/>
      <c r="AK281" s="409"/>
      <c r="AL281" s="409"/>
      <c r="AM281" s="409"/>
      <c r="AN281" s="409"/>
      <c r="AO281" s="409"/>
      <c r="AP281" s="409"/>
      <c r="AQ281" s="409"/>
    </row>
    <row r="282" spans="20:43">
      <c r="T282" s="409"/>
      <c r="U282" s="409"/>
      <c r="V282" s="409"/>
      <c r="W282" s="409"/>
      <c r="X282" s="409"/>
      <c r="Y282" s="409"/>
      <c r="Z282" s="409"/>
      <c r="AA282" s="409"/>
      <c r="AB282" s="409"/>
      <c r="AC282" s="409"/>
      <c r="AD282" s="409"/>
      <c r="AE282" s="409"/>
      <c r="AF282" s="409"/>
      <c r="AG282" s="409"/>
      <c r="AH282" s="409"/>
      <c r="AI282" s="409"/>
      <c r="AJ282" s="409"/>
      <c r="AK282" s="409"/>
      <c r="AL282" s="409"/>
      <c r="AM282" s="409"/>
      <c r="AN282" s="409"/>
      <c r="AO282" s="409"/>
      <c r="AP282" s="409"/>
      <c r="AQ282" s="409"/>
    </row>
    <row r="283" spans="20:43">
      <c r="T283" s="409"/>
      <c r="U283" s="409"/>
      <c r="V283" s="409"/>
      <c r="W283" s="409"/>
      <c r="X283" s="409"/>
      <c r="Y283" s="409"/>
      <c r="Z283" s="409"/>
      <c r="AA283" s="409"/>
      <c r="AB283" s="409"/>
      <c r="AC283" s="409"/>
      <c r="AD283" s="409"/>
      <c r="AE283" s="409"/>
      <c r="AF283" s="409"/>
      <c r="AG283" s="409"/>
      <c r="AH283" s="409"/>
      <c r="AI283" s="409"/>
      <c r="AJ283" s="409"/>
      <c r="AK283" s="409"/>
      <c r="AL283" s="409"/>
      <c r="AM283" s="409"/>
      <c r="AN283" s="409"/>
      <c r="AO283" s="409"/>
      <c r="AP283" s="409"/>
      <c r="AQ283" s="409"/>
    </row>
    <row r="284" spans="20:43">
      <c r="T284" s="409"/>
      <c r="U284" s="409"/>
      <c r="V284" s="409"/>
      <c r="W284" s="409"/>
      <c r="X284" s="409"/>
      <c r="Y284" s="409"/>
      <c r="Z284" s="409"/>
      <c r="AA284" s="409"/>
      <c r="AB284" s="409"/>
      <c r="AC284" s="409"/>
      <c r="AD284" s="409"/>
      <c r="AE284" s="409"/>
      <c r="AF284" s="409"/>
      <c r="AG284" s="409"/>
      <c r="AH284" s="409"/>
      <c r="AI284" s="409"/>
      <c r="AJ284" s="409"/>
      <c r="AK284" s="409"/>
      <c r="AL284" s="409"/>
      <c r="AM284" s="409"/>
      <c r="AN284" s="409"/>
      <c r="AO284" s="409"/>
      <c r="AP284" s="409"/>
      <c r="AQ284" s="409"/>
    </row>
    <row r="285" spans="20:43">
      <c r="T285" s="409"/>
      <c r="U285" s="409"/>
      <c r="V285" s="409"/>
      <c r="W285" s="409"/>
      <c r="X285" s="409"/>
      <c r="Y285" s="409"/>
      <c r="Z285" s="409"/>
      <c r="AA285" s="409"/>
      <c r="AB285" s="409"/>
      <c r="AC285" s="409"/>
      <c r="AD285" s="409"/>
      <c r="AE285" s="409"/>
      <c r="AF285" s="409"/>
      <c r="AG285" s="409"/>
      <c r="AH285" s="409"/>
      <c r="AI285" s="409"/>
      <c r="AJ285" s="409"/>
      <c r="AK285" s="409"/>
      <c r="AL285" s="409"/>
      <c r="AM285" s="409"/>
      <c r="AN285" s="409"/>
      <c r="AO285" s="409"/>
      <c r="AP285" s="409"/>
      <c r="AQ285" s="409"/>
    </row>
    <row r="286" spans="20:43">
      <c r="T286" s="409"/>
      <c r="U286" s="409"/>
      <c r="V286" s="409"/>
      <c r="W286" s="409"/>
      <c r="X286" s="409"/>
      <c r="Y286" s="409"/>
      <c r="Z286" s="409"/>
      <c r="AA286" s="409"/>
      <c r="AB286" s="409"/>
      <c r="AC286" s="409"/>
      <c r="AD286" s="409"/>
      <c r="AE286" s="409"/>
      <c r="AF286" s="409"/>
      <c r="AG286" s="409"/>
      <c r="AH286" s="409"/>
      <c r="AI286" s="409"/>
      <c r="AJ286" s="409"/>
      <c r="AK286" s="409"/>
      <c r="AL286" s="409"/>
      <c r="AM286" s="409"/>
      <c r="AN286" s="409"/>
      <c r="AO286" s="409"/>
      <c r="AP286" s="409"/>
      <c r="AQ286" s="409"/>
    </row>
    <row r="287" spans="20:43">
      <c r="T287" s="409"/>
      <c r="U287" s="409"/>
      <c r="V287" s="409"/>
      <c r="W287" s="409"/>
      <c r="X287" s="409"/>
      <c r="Y287" s="409"/>
      <c r="Z287" s="409"/>
      <c r="AA287" s="409"/>
      <c r="AB287" s="409"/>
      <c r="AC287" s="409"/>
      <c r="AD287" s="409"/>
      <c r="AE287" s="409"/>
      <c r="AF287" s="409"/>
      <c r="AG287" s="409"/>
      <c r="AH287" s="409"/>
      <c r="AI287" s="409"/>
      <c r="AJ287" s="409"/>
      <c r="AK287" s="409"/>
      <c r="AL287" s="409"/>
      <c r="AM287" s="409"/>
      <c r="AN287" s="409"/>
      <c r="AO287" s="409"/>
      <c r="AP287" s="409"/>
      <c r="AQ287" s="409"/>
    </row>
  </sheetData>
  <mergeCells count="9">
    <mergeCell ref="L17:O17"/>
    <mergeCell ref="L19:O19"/>
    <mergeCell ref="D21:P21"/>
    <mergeCell ref="D23:E23"/>
    <mergeCell ref="D24:E24"/>
    <mergeCell ref="D25:E25"/>
    <mergeCell ref="D26:E26"/>
    <mergeCell ref="E17:H17"/>
    <mergeCell ref="E19:H1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16"/>
  <sheetViews>
    <sheetView workbookViewId="0">
      <selection activeCell="O2" sqref="O2"/>
    </sheetView>
  </sheetViews>
  <sheetFormatPr baseColWidth="10" defaultRowHeight="12.75"/>
  <sheetData>
    <row r="1" spans="1:15" ht="45">
      <c r="B1" s="3">
        <v>30</v>
      </c>
      <c r="C1" s="543" t="s">
        <v>173</v>
      </c>
      <c r="D1" s="544"/>
      <c r="E1" s="544"/>
      <c r="F1" s="544"/>
      <c r="G1" s="544"/>
      <c r="H1" s="544"/>
      <c r="I1" s="544"/>
      <c r="J1" s="544"/>
      <c r="K1" s="544"/>
      <c r="L1" s="544"/>
      <c r="M1" s="544"/>
      <c r="N1" s="545"/>
      <c r="O1" s="4" t="s">
        <v>28</v>
      </c>
    </row>
    <row r="2" spans="1:15">
      <c r="B2" s="6"/>
      <c r="C2" s="117" t="s">
        <v>2</v>
      </c>
      <c r="D2" s="118" t="s">
        <v>3</v>
      </c>
      <c r="E2" s="118" t="s">
        <v>4</v>
      </c>
      <c r="F2" s="118" t="s">
        <v>5</v>
      </c>
      <c r="G2" s="118" t="s">
        <v>6</v>
      </c>
      <c r="H2" s="118" t="s">
        <v>7</v>
      </c>
      <c r="I2" s="118" t="s">
        <v>8</v>
      </c>
      <c r="J2" s="118" t="s">
        <v>9</v>
      </c>
      <c r="K2" s="118" t="s">
        <v>244</v>
      </c>
      <c r="L2" s="118" t="s">
        <v>245</v>
      </c>
      <c r="M2" s="118" t="s">
        <v>10</v>
      </c>
      <c r="N2" s="119" t="s">
        <v>11</v>
      </c>
      <c r="O2" s="7"/>
    </row>
    <row r="3" spans="1:15">
      <c r="A3" s="5">
        <v>1</v>
      </c>
      <c r="B3" s="6" t="s">
        <v>170</v>
      </c>
      <c r="C3" s="8">
        <v>183</v>
      </c>
      <c r="D3" s="9">
        <v>156</v>
      </c>
      <c r="E3" s="9">
        <v>126</v>
      </c>
      <c r="F3" s="9">
        <v>84</v>
      </c>
      <c r="G3" s="9">
        <v>57</v>
      </c>
      <c r="H3" s="9">
        <v>45</v>
      </c>
      <c r="I3" s="9">
        <v>54</v>
      </c>
      <c r="J3" s="9">
        <v>78</v>
      </c>
      <c r="K3" s="9">
        <v>108</v>
      </c>
      <c r="L3" s="9">
        <v>135</v>
      </c>
      <c r="M3" s="9">
        <v>168</v>
      </c>
      <c r="N3" s="10">
        <v>183</v>
      </c>
      <c r="O3" s="11">
        <v>-33</v>
      </c>
    </row>
    <row r="4" spans="1:15">
      <c r="A4" s="5">
        <f>A3+1</f>
        <v>2</v>
      </c>
      <c r="B4" s="6" t="s">
        <v>171</v>
      </c>
      <c r="C4" s="8">
        <v>210.8</v>
      </c>
      <c r="D4" s="9">
        <v>162.4</v>
      </c>
      <c r="E4" s="9">
        <v>142.6</v>
      </c>
      <c r="F4" s="9">
        <v>93</v>
      </c>
      <c r="G4" s="9">
        <v>58.9</v>
      </c>
      <c r="H4" s="9">
        <v>42</v>
      </c>
      <c r="I4" s="9">
        <v>49.6</v>
      </c>
      <c r="J4" s="9">
        <v>77.5</v>
      </c>
      <c r="K4" s="9">
        <v>117</v>
      </c>
      <c r="L4" s="9">
        <v>158.1</v>
      </c>
      <c r="M4" s="9">
        <v>186</v>
      </c>
      <c r="N4" s="10">
        <v>210.8</v>
      </c>
      <c r="O4" s="11">
        <v>-36.799999999999997</v>
      </c>
    </row>
    <row r="5" spans="1:15">
      <c r="A5" s="5">
        <f t="shared" ref="A5:A35" si="0">A4+1</f>
        <v>3</v>
      </c>
      <c r="B5" s="6" t="s">
        <v>172</v>
      </c>
      <c r="C5" s="8">
        <f>5.9*30</f>
        <v>177</v>
      </c>
      <c r="D5" s="9">
        <v>165.2</v>
      </c>
      <c r="E5" s="9">
        <v>162</v>
      </c>
      <c r="F5" s="9">
        <v>132</v>
      </c>
      <c r="G5" s="9">
        <v>102</v>
      </c>
      <c r="H5" s="9">
        <v>84</v>
      </c>
      <c r="I5" s="9">
        <v>81</v>
      </c>
      <c r="J5" s="9">
        <v>102</v>
      </c>
      <c r="K5" s="9">
        <v>123</v>
      </c>
      <c r="L5" s="9">
        <v>153</v>
      </c>
      <c r="M5" s="9">
        <v>171</v>
      </c>
      <c r="N5" s="10">
        <v>201</v>
      </c>
      <c r="O5" s="11">
        <v>-18.5</v>
      </c>
    </row>
    <row r="6" spans="1:15">
      <c r="A6" s="5">
        <f t="shared" si="0"/>
        <v>4</v>
      </c>
      <c r="B6" s="6"/>
      <c r="C6" s="8"/>
      <c r="D6" s="9"/>
      <c r="E6" s="9"/>
      <c r="F6" s="9"/>
      <c r="G6" s="9"/>
      <c r="H6" s="9"/>
      <c r="I6" s="9"/>
      <c r="J6" s="9"/>
      <c r="K6" s="9"/>
      <c r="L6" s="9"/>
      <c r="M6" s="9"/>
      <c r="N6" s="10"/>
      <c r="O6" s="11"/>
    </row>
    <row r="7" spans="1:15">
      <c r="A7" s="5">
        <f t="shared" si="0"/>
        <v>5</v>
      </c>
      <c r="B7" s="6"/>
      <c r="C7" s="8"/>
      <c r="D7" s="9"/>
      <c r="E7" s="9"/>
      <c r="F7" s="9"/>
      <c r="G7" s="9"/>
      <c r="H7" s="9"/>
      <c r="I7" s="9"/>
      <c r="J7" s="9"/>
      <c r="K7" s="9"/>
      <c r="L7" s="9"/>
      <c r="M7" s="9"/>
      <c r="N7" s="10"/>
      <c r="O7" s="11"/>
    </row>
    <row r="8" spans="1:15">
      <c r="A8" s="5">
        <f t="shared" si="0"/>
        <v>6</v>
      </c>
      <c r="B8" s="6"/>
      <c r="C8" s="8"/>
      <c r="D8" s="9"/>
      <c r="E8" s="9"/>
      <c r="F8" s="9"/>
      <c r="G8" s="9"/>
      <c r="H8" s="9"/>
      <c r="I8" s="9"/>
      <c r="J8" s="9"/>
      <c r="K8" s="9"/>
      <c r="L8" s="9"/>
      <c r="M8" s="9"/>
      <c r="N8" s="10"/>
      <c r="O8" s="11"/>
    </row>
    <row r="9" spans="1:15">
      <c r="A9" s="5">
        <f t="shared" si="0"/>
        <v>7</v>
      </c>
      <c r="B9" s="6"/>
      <c r="C9" s="8"/>
      <c r="D9" s="9"/>
      <c r="E9" s="9"/>
      <c r="F9" s="9"/>
      <c r="G9" s="9"/>
      <c r="H9" s="9"/>
      <c r="I9" s="9"/>
      <c r="J9" s="9"/>
      <c r="K9" s="9"/>
      <c r="L9" s="9"/>
      <c r="M9" s="9"/>
      <c r="N9" s="10"/>
      <c r="O9" s="11"/>
    </row>
    <row r="10" spans="1:15">
      <c r="A10" s="5">
        <f t="shared" si="0"/>
        <v>8</v>
      </c>
      <c r="B10" s="6"/>
      <c r="C10" s="8"/>
      <c r="D10" s="9"/>
      <c r="E10" s="9"/>
      <c r="F10" s="9"/>
      <c r="G10" s="9"/>
      <c r="H10" s="9"/>
      <c r="I10" s="9"/>
      <c r="J10" s="9"/>
      <c r="K10" s="9"/>
      <c r="L10" s="9"/>
      <c r="M10" s="9"/>
      <c r="N10" s="10"/>
      <c r="O10" s="11"/>
    </row>
    <row r="11" spans="1:15">
      <c r="A11" s="5">
        <f t="shared" si="0"/>
        <v>9</v>
      </c>
      <c r="B11" s="6"/>
      <c r="C11" s="8"/>
      <c r="D11" s="9"/>
      <c r="E11" s="9"/>
      <c r="F11" s="9"/>
      <c r="G11" s="9"/>
      <c r="H11" s="9"/>
      <c r="I11" s="9"/>
      <c r="J11" s="9"/>
      <c r="K11" s="9"/>
      <c r="L11" s="9"/>
      <c r="M11" s="9"/>
      <c r="N11" s="10"/>
      <c r="O11" s="11"/>
    </row>
    <row r="12" spans="1:15">
      <c r="A12" s="5">
        <f t="shared" si="0"/>
        <v>10</v>
      </c>
      <c r="B12" s="6"/>
      <c r="C12" s="8"/>
      <c r="D12" s="9"/>
      <c r="E12" s="9"/>
      <c r="F12" s="9"/>
      <c r="G12" s="9"/>
      <c r="H12" s="9"/>
      <c r="I12" s="9"/>
      <c r="J12" s="9"/>
      <c r="K12" s="9"/>
      <c r="L12" s="9"/>
      <c r="M12" s="9"/>
      <c r="N12" s="10"/>
      <c r="O12" s="11"/>
    </row>
    <row r="13" spans="1:15">
      <c r="A13" s="5">
        <f t="shared" si="0"/>
        <v>11</v>
      </c>
      <c r="B13" s="6"/>
      <c r="C13" s="8"/>
      <c r="D13" s="9"/>
      <c r="E13" s="9"/>
      <c r="F13" s="9"/>
      <c r="G13" s="9"/>
      <c r="H13" s="9"/>
      <c r="I13" s="9"/>
      <c r="J13" s="9"/>
      <c r="K13" s="9"/>
      <c r="L13" s="9"/>
      <c r="M13" s="9"/>
      <c r="N13" s="10"/>
      <c r="O13" s="11"/>
    </row>
    <row r="14" spans="1:15">
      <c r="A14" s="5">
        <f t="shared" si="0"/>
        <v>12</v>
      </c>
      <c r="B14" s="6"/>
      <c r="C14" s="8"/>
      <c r="D14" s="9"/>
      <c r="E14" s="9"/>
      <c r="F14" s="9"/>
      <c r="G14" s="9"/>
      <c r="H14" s="9"/>
      <c r="I14" s="9"/>
      <c r="J14" s="9"/>
      <c r="K14" s="9"/>
      <c r="L14" s="9"/>
      <c r="M14" s="9"/>
      <c r="N14" s="10"/>
      <c r="O14" s="11"/>
    </row>
    <row r="15" spans="1:15">
      <c r="A15" s="5">
        <f t="shared" si="0"/>
        <v>13</v>
      </c>
      <c r="B15" s="6"/>
      <c r="C15" s="8"/>
      <c r="D15" s="9"/>
      <c r="E15" s="9"/>
      <c r="F15" s="9"/>
      <c r="G15" s="9"/>
      <c r="H15" s="9"/>
      <c r="I15" s="9"/>
      <c r="J15" s="9"/>
      <c r="K15" s="9"/>
      <c r="L15" s="9"/>
      <c r="M15" s="9"/>
      <c r="N15" s="10"/>
      <c r="O15" s="11"/>
    </row>
    <row r="16" spans="1:15">
      <c r="A16" s="5">
        <f t="shared" si="0"/>
        <v>14</v>
      </c>
      <c r="B16" s="6"/>
      <c r="C16" s="8"/>
      <c r="D16" s="9"/>
      <c r="E16" s="9"/>
      <c r="F16" s="9"/>
      <c r="G16" s="9"/>
      <c r="H16" s="9"/>
      <c r="I16" s="9"/>
      <c r="J16" s="9"/>
      <c r="K16" s="9"/>
      <c r="L16" s="9"/>
      <c r="M16" s="9"/>
      <c r="N16" s="10"/>
      <c r="O16" s="11"/>
    </row>
    <row r="17" spans="1:15">
      <c r="A17" s="5">
        <f t="shared" si="0"/>
        <v>15</v>
      </c>
      <c r="B17" s="6"/>
      <c r="C17" s="13"/>
      <c r="D17" s="14"/>
      <c r="E17" s="14"/>
      <c r="F17" s="14"/>
      <c r="G17" s="14"/>
      <c r="H17" s="14"/>
      <c r="I17" s="14"/>
      <c r="J17" s="14"/>
      <c r="K17" s="14"/>
      <c r="L17" s="14"/>
      <c r="M17" s="14"/>
      <c r="N17" s="15"/>
      <c r="O17" s="16"/>
    </row>
    <row r="18" spans="1:15">
      <c r="A18" s="5">
        <f t="shared" si="0"/>
        <v>16</v>
      </c>
      <c r="B18" s="6"/>
      <c r="C18" s="8"/>
      <c r="D18" s="9"/>
      <c r="E18" s="9"/>
      <c r="F18" s="9"/>
      <c r="G18" s="9"/>
      <c r="H18" s="9"/>
      <c r="I18" s="9"/>
      <c r="J18" s="9"/>
      <c r="K18" s="9"/>
      <c r="L18" s="9"/>
      <c r="M18" s="9"/>
      <c r="N18" s="10"/>
      <c r="O18" s="11"/>
    </row>
    <row r="19" spans="1:15">
      <c r="A19" s="5">
        <f t="shared" si="0"/>
        <v>17</v>
      </c>
      <c r="B19" s="6"/>
      <c r="C19" s="8"/>
      <c r="D19" s="9"/>
      <c r="E19" s="9"/>
      <c r="F19" s="9"/>
      <c r="G19" s="9"/>
      <c r="H19" s="9"/>
      <c r="I19" s="9"/>
      <c r="J19" s="9"/>
      <c r="K19" s="9"/>
      <c r="L19" s="9"/>
      <c r="M19" s="9"/>
      <c r="N19" s="10"/>
      <c r="O19" s="11"/>
    </row>
    <row r="20" spans="1:15">
      <c r="A20" s="5">
        <f t="shared" si="0"/>
        <v>18</v>
      </c>
      <c r="B20" s="6"/>
      <c r="C20" s="8"/>
      <c r="D20" s="9"/>
      <c r="E20" s="9"/>
      <c r="F20" s="9"/>
      <c r="G20" s="9"/>
      <c r="H20" s="9"/>
      <c r="I20" s="9"/>
      <c r="J20" s="9"/>
      <c r="K20" s="9"/>
      <c r="L20" s="9"/>
      <c r="M20" s="9"/>
      <c r="N20" s="10"/>
      <c r="O20" s="11"/>
    </row>
    <row r="21" spans="1:15">
      <c r="A21" s="5">
        <f t="shared" si="0"/>
        <v>19</v>
      </c>
      <c r="B21" s="6"/>
      <c r="C21" s="8"/>
      <c r="D21" s="9"/>
      <c r="E21" s="9"/>
      <c r="F21" s="9"/>
      <c r="G21" s="9"/>
      <c r="H21" s="9"/>
      <c r="I21" s="9"/>
      <c r="J21" s="9"/>
      <c r="K21" s="9"/>
      <c r="L21" s="9"/>
      <c r="M21" s="9"/>
      <c r="N21" s="10"/>
      <c r="O21" s="11"/>
    </row>
    <row r="22" spans="1:15">
      <c r="A22" s="5">
        <f t="shared" si="0"/>
        <v>20</v>
      </c>
      <c r="B22" s="6"/>
      <c r="C22" s="8"/>
      <c r="D22" s="9"/>
      <c r="E22" s="9"/>
      <c r="F22" s="9"/>
      <c r="G22" s="9"/>
      <c r="H22" s="9"/>
      <c r="I22" s="9"/>
      <c r="J22" s="9"/>
      <c r="K22" s="9"/>
      <c r="L22" s="9"/>
      <c r="M22" s="9"/>
      <c r="N22" s="10"/>
      <c r="O22" s="11"/>
    </row>
    <row r="23" spans="1:15">
      <c r="A23" s="5">
        <f t="shared" si="0"/>
        <v>21</v>
      </c>
      <c r="B23" s="6"/>
      <c r="C23" s="8"/>
      <c r="D23" s="9"/>
      <c r="E23" s="9"/>
      <c r="F23" s="9"/>
      <c r="G23" s="9"/>
      <c r="H23" s="9"/>
      <c r="I23" s="9"/>
      <c r="J23" s="9"/>
      <c r="K23" s="9"/>
      <c r="L23" s="9"/>
      <c r="M23" s="9"/>
      <c r="N23" s="10"/>
      <c r="O23" s="11"/>
    </row>
    <row r="24" spans="1:15">
      <c r="A24" s="5">
        <f t="shared" si="0"/>
        <v>22</v>
      </c>
      <c r="B24" s="6"/>
      <c r="C24" s="8"/>
      <c r="D24" s="9"/>
      <c r="E24" s="9"/>
      <c r="F24" s="9"/>
      <c r="G24" s="9"/>
      <c r="H24" s="9"/>
      <c r="I24" s="9"/>
      <c r="J24" s="9"/>
      <c r="K24" s="9"/>
      <c r="L24" s="9"/>
      <c r="M24" s="9"/>
      <c r="N24" s="10"/>
      <c r="O24" s="11"/>
    </row>
    <row r="25" spans="1:15">
      <c r="A25" s="5">
        <f t="shared" si="0"/>
        <v>23</v>
      </c>
      <c r="B25" s="6"/>
      <c r="C25" s="8"/>
      <c r="D25" s="9"/>
      <c r="E25" s="9"/>
      <c r="F25" s="9"/>
      <c r="G25" s="9"/>
      <c r="H25" s="9"/>
      <c r="I25" s="9"/>
      <c r="J25" s="9"/>
      <c r="K25" s="9"/>
      <c r="L25" s="9"/>
      <c r="M25" s="9"/>
      <c r="N25" s="10"/>
      <c r="O25" s="11"/>
    </row>
    <row r="26" spans="1:15">
      <c r="A26" s="5">
        <f t="shared" si="0"/>
        <v>24</v>
      </c>
      <c r="B26" s="6"/>
      <c r="C26" s="8"/>
      <c r="D26" s="9"/>
      <c r="E26" s="9"/>
      <c r="F26" s="9"/>
      <c r="G26" s="9"/>
      <c r="H26" s="9"/>
      <c r="I26" s="9"/>
      <c r="J26" s="9"/>
      <c r="K26" s="9"/>
      <c r="L26" s="9"/>
      <c r="M26" s="9"/>
      <c r="N26" s="10"/>
      <c r="O26" s="11"/>
    </row>
    <row r="27" spans="1:15">
      <c r="A27" s="5">
        <f t="shared" si="0"/>
        <v>25</v>
      </c>
      <c r="B27" s="6"/>
      <c r="C27" s="8"/>
      <c r="D27" s="9"/>
      <c r="E27" s="9"/>
      <c r="F27" s="9"/>
      <c r="G27" s="9"/>
      <c r="H27" s="9"/>
      <c r="I27" s="9"/>
      <c r="J27" s="9"/>
      <c r="K27" s="9"/>
      <c r="L27" s="9"/>
      <c r="M27" s="9"/>
      <c r="N27" s="10"/>
      <c r="O27" s="11"/>
    </row>
    <row r="28" spans="1:15">
      <c r="A28" s="5">
        <f t="shared" si="0"/>
        <v>26</v>
      </c>
      <c r="B28" s="6"/>
      <c r="C28" s="8"/>
      <c r="D28" s="9"/>
      <c r="E28" s="9"/>
      <c r="F28" s="9"/>
      <c r="G28" s="9"/>
      <c r="H28" s="9"/>
      <c r="I28" s="9"/>
      <c r="J28" s="9"/>
      <c r="K28" s="9"/>
      <c r="L28" s="9"/>
      <c r="M28" s="9"/>
      <c r="N28" s="10"/>
      <c r="O28" s="11"/>
    </row>
    <row r="29" spans="1:15">
      <c r="A29" s="5">
        <f t="shared" si="0"/>
        <v>27</v>
      </c>
      <c r="B29" s="6"/>
      <c r="C29" s="8"/>
      <c r="D29" s="9"/>
      <c r="E29" s="9"/>
      <c r="F29" s="9"/>
      <c r="G29" s="9"/>
      <c r="H29" s="9"/>
      <c r="I29" s="9"/>
      <c r="J29" s="9"/>
      <c r="K29" s="9"/>
      <c r="L29" s="9"/>
      <c r="M29" s="9"/>
      <c r="N29" s="10"/>
      <c r="O29" s="11"/>
    </row>
    <row r="30" spans="1:15">
      <c r="A30" s="5">
        <f t="shared" si="0"/>
        <v>28</v>
      </c>
      <c r="B30" s="6"/>
      <c r="C30" s="8"/>
      <c r="D30" s="9"/>
      <c r="E30" s="9"/>
      <c r="F30" s="9"/>
      <c r="G30" s="9"/>
      <c r="H30" s="9"/>
      <c r="I30" s="9"/>
      <c r="J30" s="9"/>
      <c r="K30" s="9"/>
      <c r="L30" s="9"/>
      <c r="M30" s="9"/>
      <c r="N30" s="10"/>
      <c r="O30" s="11"/>
    </row>
    <row r="31" spans="1:15">
      <c r="A31" s="5">
        <f t="shared" si="0"/>
        <v>29</v>
      </c>
      <c r="B31" s="6"/>
      <c r="C31" s="8"/>
      <c r="D31" s="9"/>
      <c r="E31" s="9"/>
      <c r="F31" s="9"/>
      <c r="G31" s="9"/>
      <c r="H31" s="9"/>
      <c r="I31" s="9"/>
      <c r="J31" s="9"/>
      <c r="K31" s="9"/>
      <c r="L31" s="9"/>
      <c r="M31" s="9"/>
      <c r="N31" s="10"/>
      <c r="O31" s="11"/>
    </row>
    <row r="32" spans="1:15">
      <c r="A32" s="5">
        <f t="shared" si="0"/>
        <v>30</v>
      </c>
      <c r="B32" s="6"/>
      <c r="C32" s="8"/>
      <c r="D32" s="9"/>
      <c r="E32" s="9"/>
      <c r="F32" s="9"/>
      <c r="G32" s="9"/>
      <c r="H32" s="9"/>
      <c r="I32" s="9"/>
      <c r="J32" s="9"/>
      <c r="K32" s="9"/>
      <c r="L32" s="9"/>
      <c r="M32" s="9"/>
      <c r="N32" s="10"/>
      <c r="O32" s="11"/>
    </row>
    <row r="33" spans="1:15">
      <c r="A33" s="5">
        <f t="shared" si="0"/>
        <v>31</v>
      </c>
      <c r="B33" s="6"/>
      <c r="C33" s="8"/>
      <c r="D33" s="9"/>
      <c r="E33" s="9"/>
      <c r="F33" s="9"/>
      <c r="G33" s="9"/>
      <c r="H33" s="9"/>
      <c r="I33" s="9"/>
      <c r="J33" s="9"/>
      <c r="K33" s="9"/>
      <c r="L33" s="9"/>
      <c r="M33" s="9"/>
      <c r="N33" s="10"/>
      <c r="O33" s="11"/>
    </row>
    <row r="34" spans="1:15">
      <c r="A34" s="5">
        <f t="shared" si="0"/>
        <v>32</v>
      </c>
      <c r="B34" s="6"/>
      <c r="C34" s="8"/>
      <c r="D34" s="9"/>
      <c r="E34" s="9"/>
      <c r="F34" s="9"/>
      <c r="G34" s="9"/>
      <c r="H34" s="9"/>
      <c r="I34" s="9"/>
      <c r="J34" s="9"/>
      <c r="K34" s="9"/>
      <c r="L34" s="9"/>
      <c r="M34" s="9"/>
      <c r="N34" s="10"/>
      <c r="O34" s="11"/>
    </row>
    <row r="35" spans="1:15">
      <c r="A35" s="5">
        <f t="shared" si="0"/>
        <v>33</v>
      </c>
      <c r="B35" s="6"/>
      <c r="C35" s="17"/>
      <c r="D35" s="18"/>
      <c r="E35" s="18"/>
      <c r="F35" s="18"/>
      <c r="G35" s="18"/>
      <c r="H35" s="18"/>
      <c r="I35" s="18"/>
      <c r="J35" s="18"/>
      <c r="K35" s="18"/>
      <c r="L35" s="18"/>
      <c r="M35" s="18"/>
      <c r="N35" s="19"/>
      <c r="O35" s="20"/>
    </row>
    <row r="39" spans="1:15">
      <c r="B39" s="21" t="s">
        <v>19</v>
      </c>
      <c r="C39" s="22">
        <f>PI()/180</f>
        <v>1.7453292519943295E-2</v>
      </c>
      <c r="D39" s="22">
        <f t="shared" ref="D39:N39" si="1">PI()/180</f>
        <v>1.7453292519943295E-2</v>
      </c>
      <c r="E39" s="22">
        <f t="shared" si="1"/>
        <v>1.7453292519943295E-2</v>
      </c>
      <c r="F39" s="22">
        <f t="shared" si="1"/>
        <v>1.7453292519943295E-2</v>
      </c>
      <c r="G39" s="22">
        <f t="shared" si="1"/>
        <v>1.7453292519943295E-2</v>
      </c>
      <c r="H39" s="22">
        <f t="shared" si="1"/>
        <v>1.7453292519943295E-2</v>
      </c>
      <c r="I39" s="22">
        <f t="shared" si="1"/>
        <v>1.7453292519943295E-2</v>
      </c>
      <c r="J39" s="22">
        <f t="shared" si="1"/>
        <v>1.7453292519943295E-2</v>
      </c>
      <c r="K39" s="22">
        <f t="shared" si="1"/>
        <v>1.7453292519943295E-2</v>
      </c>
      <c r="L39" s="22">
        <f t="shared" si="1"/>
        <v>1.7453292519943295E-2</v>
      </c>
      <c r="M39" s="22">
        <f t="shared" si="1"/>
        <v>1.7453292519943295E-2</v>
      </c>
      <c r="N39" s="24">
        <f t="shared" si="1"/>
        <v>1.7453292519943295E-2</v>
      </c>
    </row>
    <row r="40" spans="1:15">
      <c r="B40" s="94" t="s">
        <v>29</v>
      </c>
      <c r="C40" s="5">
        <f>'Ángulo de Inclinación'!$T$31</f>
        <v>19</v>
      </c>
      <c r="D40" s="5">
        <f>'Ángulo de Inclinación'!$T$31</f>
        <v>19</v>
      </c>
      <c r="E40" s="5">
        <f>'Ángulo de Inclinación'!$T$31</f>
        <v>19</v>
      </c>
      <c r="F40" s="5">
        <f>'Ángulo de Inclinación'!$T$31</f>
        <v>19</v>
      </c>
      <c r="G40" s="5">
        <f>'Ángulo de Inclinación'!$T$31</f>
        <v>19</v>
      </c>
      <c r="H40" s="5">
        <f>'Ángulo de Inclinación'!$T$31</f>
        <v>19</v>
      </c>
      <c r="I40" s="5">
        <f>'Ángulo de Inclinación'!$T$31</f>
        <v>19</v>
      </c>
      <c r="J40" s="5">
        <f>'Ángulo de Inclinación'!$T$31</f>
        <v>19</v>
      </c>
      <c r="K40" s="5">
        <f>'Ángulo de Inclinación'!$T$31</f>
        <v>19</v>
      </c>
      <c r="L40" s="5">
        <f>'Ángulo de Inclinación'!$T$31</f>
        <v>19</v>
      </c>
      <c r="M40" s="5">
        <f>'Ángulo de Inclinación'!$T$31</f>
        <v>19</v>
      </c>
      <c r="N40" s="101">
        <f>'Ángulo de Inclinación'!$T$31</f>
        <v>19</v>
      </c>
    </row>
    <row r="41" spans="1:15">
      <c r="B41" s="94" t="s">
        <v>30</v>
      </c>
      <c r="C41" s="5">
        <f>C40*C39</f>
        <v>0.33161255787892263</v>
      </c>
      <c r="D41" s="5">
        <f t="shared" ref="D41:N41" si="2">D40*D39</f>
        <v>0.33161255787892263</v>
      </c>
      <c r="E41" s="5">
        <f t="shared" si="2"/>
        <v>0.33161255787892263</v>
      </c>
      <c r="F41" s="5">
        <f t="shared" si="2"/>
        <v>0.33161255787892263</v>
      </c>
      <c r="G41" s="5">
        <f t="shared" si="2"/>
        <v>0.33161255787892263</v>
      </c>
      <c r="H41" s="5">
        <f t="shared" si="2"/>
        <v>0.33161255787892263</v>
      </c>
      <c r="I41" s="5">
        <f t="shared" si="2"/>
        <v>0.33161255787892263</v>
      </c>
      <c r="J41" s="5">
        <f t="shared" si="2"/>
        <v>0.33161255787892263</v>
      </c>
      <c r="K41" s="5">
        <f t="shared" si="2"/>
        <v>0.33161255787892263</v>
      </c>
      <c r="L41" s="5">
        <f t="shared" si="2"/>
        <v>0.33161255787892263</v>
      </c>
      <c r="M41" s="5">
        <f t="shared" si="2"/>
        <v>0.33161255787892263</v>
      </c>
      <c r="N41" s="101">
        <f t="shared" si="2"/>
        <v>0.33161255787892263</v>
      </c>
    </row>
    <row r="42" spans="1:15">
      <c r="B42" s="94" t="s">
        <v>31</v>
      </c>
      <c r="C42" s="5">
        <f>SIN(C41)</f>
        <v>0.3255681544571567</v>
      </c>
      <c r="D42" s="5">
        <f t="shared" ref="D42:N42" si="3">SIN(D41)</f>
        <v>0.3255681544571567</v>
      </c>
      <c r="E42" s="5">
        <f t="shared" si="3"/>
        <v>0.3255681544571567</v>
      </c>
      <c r="F42" s="5">
        <f t="shared" si="3"/>
        <v>0.3255681544571567</v>
      </c>
      <c r="G42" s="5">
        <f t="shared" si="3"/>
        <v>0.3255681544571567</v>
      </c>
      <c r="H42" s="5">
        <f t="shared" si="3"/>
        <v>0.3255681544571567</v>
      </c>
      <c r="I42" s="5">
        <f t="shared" si="3"/>
        <v>0.3255681544571567</v>
      </c>
      <c r="J42" s="5">
        <f t="shared" si="3"/>
        <v>0.3255681544571567</v>
      </c>
      <c r="K42" s="5">
        <f t="shared" si="3"/>
        <v>0.3255681544571567</v>
      </c>
      <c r="L42" s="5">
        <f t="shared" si="3"/>
        <v>0.3255681544571567</v>
      </c>
      <c r="M42" s="5">
        <f t="shared" si="3"/>
        <v>0.3255681544571567</v>
      </c>
      <c r="N42" s="101">
        <f t="shared" si="3"/>
        <v>0.3255681544571567</v>
      </c>
    </row>
    <row r="43" spans="1:15">
      <c r="B43" s="94" t="s">
        <v>32</v>
      </c>
      <c r="C43" s="5">
        <f>COS(C41)</f>
        <v>0.94551857559931685</v>
      </c>
      <c r="D43" s="5">
        <f t="shared" ref="D43:N43" si="4">COS(D41)</f>
        <v>0.94551857559931685</v>
      </c>
      <c r="E43" s="5">
        <f t="shared" si="4"/>
        <v>0.94551857559931685</v>
      </c>
      <c r="F43" s="5">
        <f t="shared" si="4"/>
        <v>0.94551857559931685</v>
      </c>
      <c r="G43" s="5">
        <f t="shared" si="4"/>
        <v>0.94551857559931685</v>
      </c>
      <c r="H43" s="5">
        <f t="shared" si="4"/>
        <v>0.94551857559931685</v>
      </c>
      <c r="I43" s="5">
        <f t="shared" si="4"/>
        <v>0.94551857559931685</v>
      </c>
      <c r="J43" s="5">
        <f t="shared" si="4"/>
        <v>0.94551857559931685</v>
      </c>
      <c r="K43" s="5">
        <f t="shared" si="4"/>
        <v>0.94551857559931685</v>
      </c>
      <c r="L43" s="5">
        <f t="shared" si="4"/>
        <v>0.94551857559931685</v>
      </c>
      <c r="M43" s="5">
        <f t="shared" si="4"/>
        <v>0.94551857559931685</v>
      </c>
      <c r="N43" s="101">
        <f t="shared" si="4"/>
        <v>0.94551857559931685</v>
      </c>
    </row>
    <row r="44" spans="1:15">
      <c r="B44" s="94" t="s">
        <v>33</v>
      </c>
      <c r="C44" s="5">
        <f>'Ángulo de Inclinación'!S21</f>
        <v>-33</v>
      </c>
      <c r="D44" s="5">
        <f>C44</f>
        <v>-33</v>
      </c>
      <c r="E44" s="5">
        <f t="shared" ref="E44:N44" si="5">D44</f>
        <v>-33</v>
      </c>
      <c r="F44" s="5">
        <f t="shared" si="5"/>
        <v>-33</v>
      </c>
      <c r="G44" s="5">
        <f t="shared" si="5"/>
        <v>-33</v>
      </c>
      <c r="H44" s="5">
        <f t="shared" si="5"/>
        <v>-33</v>
      </c>
      <c r="I44" s="5">
        <f t="shared" si="5"/>
        <v>-33</v>
      </c>
      <c r="J44" s="5">
        <f t="shared" si="5"/>
        <v>-33</v>
      </c>
      <c r="K44" s="5">
        <f t="shared" si="5"/>
        <v>-33</v>
      </c>
      <c r="L44" s="5">
        <f t="shared" si="5"/>
        <v>-33</v>
      </c>
      <c r="M44" s="5">
        <f t="shared" si="5"/>
        <v>-33</v>
      </c>
      <c r="N44" s="101">
        <f t="shared" si="5"/>
        <v>-33</v>
      </c>
    </row>
    <row r="45" spans="1:15">
      <c r="B45" s="94" t="s">
        <v>34</v>
      </c>
      <c r="C45" s="5">
        <f>C44*C39</f>
        <v>-0.57595865315812877</v>
      </c>
      <c r="D45" s="5">
        <f t="shared" ref="D45:N45" si="6">D44*D39</f>
        <v>-0.57595865315812877</v>
      </c>
      <c r="E45" s="5">
        <f t="shared" si="6"/>
        <v>-0.57595865315812877</v>
      </c>
      <c r="F45" s="5">
        <f t="shared" si="6"/>
        <v>-0.57595865315812877</v>
      </c>
      <c r="G45" s="5">
        <f t="shared" si="6"/>
        <v>-0.57595865315812877</v>
      </c>
      <c r="H45" s="5">
        <f t="shared" si="6"/>
        <v>-0.57595865315812877</v>
      </c>
      <c r="I45" s="5">
        <f t="shared" si="6"/>
        <v>-0.57595865315812877</v>
      </c>
      <c r="J45" s="5">
        <f t="shared" si="6"/>
        <v>-0.57595865315812877</v>
      </c>
      <c r="K45" s="5">
        <f t="shared" si="6"/>
        <v>-0.57595865315812877</v>
      </c>
      <c r="L45" s="5">
        <f t="shared" si="6"/>
        <v>-0.57595865315812877</v>
      </c>
      <c r="M45" s="5">
        <f t="shared" si="6"/>
        <v>-0.57595865315812877</v>
      </c>
      <c r="N45" s="101">
        <f t="shared" si="6"/>
        <v>-0.57595865315812877</v>
      </c>
    </row>
    <row r="46" spans="1:15">
      <c r="B46" s="94" t="s">
        <v>20</v>
      </c>
      <c r="C46" s="5">
        <f>SIN(C45)</f>
        <v>-0.54463903501502708</v>
      </c>
      <c r="D46" s="5">
        <f t="shared" ref="D46:N46" si="7">SIN(D45)</f>
        <v>-0.54463903501502708</v>
      </c>
      <c r="E46" s="5">
        <f t="shared" si="7"/>
        <v>-0.54463903501502708</v>
      </c>
      <c r="F46" s="5">
        <f t="shared" si="7"/>
        <v>-0.54463903501502708</v>
      </c>
      <c r="G46" s="5">
        <f t="shared" si="7"/>
        <v>-0.54463903501502708</v>
      </c>
      <c r="H46" s="5">
        <f t="shared" si="7"/>
        <v>-0.54463903501502708</v>
      </c>
      <c r="I46" s="5">
        <f t="shared" si="7"/>
        <v>-0.54463903501502708</v>
      </c>
      <c r="J46" s="5">
        <f t="shared" si="7"/>
        <v>-0.54463903501502708</v>
      </c>
      <c r="K46" s="5">
        <f t="shared" si="7"/>
        <v>-0.54463903501502708</v>
      </c>
      <c r="L46" s="5">
        <f t="shared" si="7"/>
        <v>-0.54463903501502708</v>
      </c>
      <c r="M46" s="5">
        <f t="shared" si="7"/>
        <v>-0.54463903501502708</v>
      </c>
      <c r="N46" s="101">
        <f t="shared" si="7"/>
        <v>-0.54463903501502708</v>
      </c>
    </row>
    <row r="47" spans="1:15">
      <c r="B47" s="94" t="s">
        <v>21</v>
      </c>
      <c r="C47" s="5">
        <f>COS(C45)</f>
        <v>0.83867056794542405</v>
      </c>
      <c r="D47" s="5">
        <f t="shared" ref="D47:N47" si="8">COS(D45)</f>
        <v>0.83867056794542405</v>
      </c>
      <c r="E47" s="5">
        <f t="shared" si="8"/>
        <v>0.83867056794542405</v>
      </c>
      <c r="F47" s="5">
        <f t="shared" si="8"/>
        <v>0.83867056794542405</v>
      </c>
      <c r="G47" s="5">
        <f t="shared" si="8"/>
        <v>0.83867056794542405</v>
      </c>
      <c r="H47" s="5">
        <f t="shared" si="8"/>
        <v>0.83867056794542405</v>
      </c>
      <c r="I47" s="5">
        <f t="shared" si="8"/>
        <v>0.83867056794542405</v>
      </c>
      <c r="J47" s="5">
        <f t="shared" si="8"/>
        <v>0.83867056794542405</v>
      </c>
      <c r="K47" s="5">
        <f t="shared" si="8"/>
        <v>0.83867056794542405</v>
      </c>
      <c r="L47" s="5">
        <f t="shared" si="8"/>
        <v>0.83867056794542405</v>
      </c>
      <c r="M47" s="5">
        <f t="shared" si="8"/>
        <v>0.83867056794542405</v>
      </c>
      <c r="N47" s="101">
        <f t="shared" si="8"/>
        <v>0.83867056794542405</v>
      </c>
    </row>
    <row r="48" spans="1:15">
      <c r="B48" s="94" t="s">
        <v>22</v>
      </c>
      <c r="C48" s="5">
        <f>TAN(C45)</f>
        <v>-0.64940759319751062</v>
      </c>
      <c r="D48" s="5">
        <f t="shared" ref="D48:N48" si="9">TAN(D45)</f>
        <v>-0.64940759319751062</v>
      </c>
      <c r="E48" s="5">
        <f t="shared" si="9"/>
        <v>-0.64940759319751062</v>
      </c>
      <c r="F48" s="5">
        <f t="shared" si="9"/>
        <v>-0.64940759319751062</v>
      </c>
      <c r="G48" s="5">
        <f t="shared" si="9"/>
        <v>-0.64940759319751062</v>
      </c>
      <c r="H48" s="5">
        <f t="shared" si="9"/>
        <v>-0.64940759319751062</v>
      </c>
      <c r="I48" s="5">
        <f t="shared" si="9"/>
        <v>-0.64940759319751062</v>
      </c>
      <c r="J48" s="5">
        <f t="shared" si="9"/>
        <v>-0.64940759319751062</v>
      </c>
      <c r="K48" s="5">
        <f t="shared" si="9"/>
        <v>-0.64940759319751062</v>
      </c>
      <c r="L48" s="5">
        <f t="shared" si="9"/>
        <v>-0.64940759319751062</v>
      </c>
      <c r="M48" s="5">
        <f t="shared" si="9"/>
        <v>-0.64940759319751062</v>
      </c>
      <c r="N48" s="101">
        <f t="shared" si="9"/>
        <v>-0.64940759319751062</v>
      </c>
    </row>
    <row r="49" spans="2:14">
      <c r="B49" s="94" t="s">
        <v>35</v>
      </c>
      <c r="C49" s="5">
        <f>(C44-C40)*C39</f>
        <v>-0.90757121103705141</v>
      </c>
      <c r="D49" s="5">
        <f t="shared" ref="D49:N49" si="10">(D44-D40)*D39</f>
        <v>-0.90757121103705141</v>
      </c>
      <c r="E49" s="5">
        <f t="shared" si="10"/>
        <v>-0.90757121103705141</v>
      </c>
      <c r="F49" s="5">
        <f t="shared" si="10"/>
        <v>-0.90757121103705141</v>
      </c>
      <c r="G49" s="5">
        <f t="shared" si="10"/>
        <v>-0.90757121103705141</v>
      </c>
      <c r="H49" s="5">
        <f t="shared" si="10"/>
        <v>-0.90757121103705141</v>
      </c>
      <c r="I49" s="5">
        <f t="shared" si="10"/>
        <v>-0.90757121103705141</v>
      </c>
      <c r="J49" s="5">
        <f t="shared" si="10"/>
        <v>-0.90757121103705141</v>
      </c>
      <c r="K49" s="5">
        <f t="shared" si="10"/>
        <v>-0.90757121103705141</v>
      </c>
      <c r="L49" s="5">
        <f t="shared" si="10"/>
        <v>-0.90757121103705141</v>
      </c>
      <c r="M49" s="5">
        <f t="shared" si="10"/>
        <v>-0.90757121103705141</v>
      </c>
      <c r="N49" s="101">
        <f t="shared" si="10"/>
        <v>-0.90757121103705141</v>
      </c>
    </row>
    <row r="50" spans="2:14">
      <c r="B50" s="23" t="s">
        <v>23</v>
      </c>
      <c r="C50" s="5">
        <f>SIN(C49)</f>
        <v>-0.78801075360672201</v>
      </c>
      <c r="D50" s="5">
        <f t="shared" ref="D50:N50" si="11">SIN(D49)</f>
        <v>-0.78801075360672201</v>
      </c>
      <c r="E50" s="5">
        <f t="shared" si="11"/>
        <v>-0.78801075360672201</v>
      </c>
      <c r="F50" s="5">
        <f t="shared" si="11"/>
        <v>-0.78801075360672201</v>
      </c>
      <c r="G50" s="5">
        <f t="shared" si="11"/>
        <v>-0.78801075360672201</v>
      </c>
      <c r="H50" s="5">
        <f t="shared" si="11"/>
        <v>-0.78801075360672201</v>
      </c>
      <c r="I50" s="5">
        <f t="shared" si="11"/>
        <v>-0.78801075360672201</v>
      </c>
      <c r="J50" s="5">
        <f t="shared" si="11"/>
        <v>-0.78801075360672201</v>
      </c>
      <c r="K50" s="5">
        <f t="shared" si="11"/>
        <v>-0.78801075360672201</v>
      </c>
      <c r="L50" s="5">
        <f t="shared" si="11"/>
        <v>-0.78801075360672201</v>
      </c>
      <c r="M50" s="5">
        <f t="shared" si="11"/>
        <v>-0.78801075360672201</v>
      </c>
      <c r="N50" s="101">
        <f t="shared" si="11"/>
        <v>-0.78801075360672201</v>
      </c>
    </row>
    <row r="51" spans="2:14">
      <c r="B51" s="23" t="s">
        <v>24</v>
      </c>
      <c r="C51" s="5">
        <f>COS(C49)</f>
        <v>0.61566147532565829</v>
      </c>
      <c r="D51" s="5">
        <f t="shared" ref="D51:N51" si="12">COS(D49)</f>
        <v>0.61566147532565829</v>
      </c>
      <c r="E51" s="5">
        <f t="shared" si="12"/>
        <v>0.61566147532565829</v>
      </c>
      <c r="F51" s="5">
        <f t="shared" si="12"/>
        <v>0.61566147532565829</v>
      </c>
      <c r="G51" s="5">
        <f t="shared" si="12"/>
        <v>0.61566147532565829</v>
      </c>
      <c r="H51" s="5">
        <f t="shared" si="12"/>
        <v>0.61566147532565829</v>
      </c>
      <c r="I51" s="5">
        <f t="shared" si="12"/>
        <v>0.61566147532565829</v>
      </c>
      <c r="J51" s="5">
        <f t="shared" si="12"/>
        <v>0.61566147532565829</v>
      </c>
      <c r="K51" s="5">
        <f t="shared" si="12"/>
        <v>0.61566147532565829</v>
      </c>
      <c r="L51" s="5">
        <f t="shared" si="12"/>
        <v>0.61566147532565829</v>
      </c>
      <c r="M51" s="5">
        <f t="shared" si="12"/>
        <v>0.61566147532565829</v>
      </c>
      <c r="N51" s="101">
        <f t="shared" si="12"/>
        <v>0.61566147532565829</v>
      </c>
    </row>
    <row r="52" spans="2:14">
      <c r="B52" s="23" t="s">
        <v>25</v>
      </c>
      <c r="C52" s="5">
        <f>TAN(C49)</f>
        <v>-1.2799416321930788</v>
      </c>
      <c r="D52" s="5">
        <f t="shared" ref="D52:N52" si="13">TAN(D49)</f>
        <v>-1.2799416321930788</v>
      </c>
      <c r="E52" s="5">
        <f t="shared" si="13"/>
        <v>-1.2799416321930788</v>
      </c>
      <c r="F52" s="5">
        <f t="shared" si="13"/>
        <v>-1.2799416321930788</v>
      </c>
      <c r="G52" s="5">
        <f t="shared" si="13"/>
        <v>-1.2799416321930788</v>
      </c>
      <c r="H52" s="5">
        <f t="shared" si="13"/>
        <v>-1.2799416321930788</v>
      </c>
      <c r="I52" s="5">
        <f t="shared" si="13"/>
        <v>-1.2799416321930788</v>
      </c>
      <c r="J52" s="5">
        <f t="shared" si="13"/>
        <v>-1.2799416321930788</v>
      </c>
      <c r="K52" s="5">
        <f t="shared" si="13"/>
        <v>-1.2799416321930788</v>
      </c>
      <c r="L52" s="5">
        <f t="shared" si="13"/>
        <v>-1.2799416321930788</v>
      </c>
      <c r="M52" s="5">
        <f t="shared" si="13"/>
        <v>-1.2799416321930788</v>
      </c>
      <c r="N52" s="101">
        <f t="shared" si="13"/>
        <v>-1.2799416321930788</v>
      </c>
    </row>
    <row r="53" spans="2:14">
      <c r="B53" s="95" t="s">
        <v>36</v>
      </c>
      <c r="C53" s="5">
        <f>COS(37.5*C39)</f>
        <v>0.79335334029123517</v>
      </c>
      <c r="D53" s="5">
        <f t="shared" ref="D53:N53" si="14">COS(37.5*D39)</f>
        <v>0.79335334029123517</v>
      </c>
      <c r="E53" s="5">
        <f t="shared" si="14"/>
        <v>0.79335334029123517</v>
      </c>
      <c r="F53" s="5">
        <f t="shared" si="14"/>
        <v>0.79335334029123517</v>
      </c>
      <c r="G53" s="5">
        <f t="shared" si="14"/>
        <v>0.79335334029123517</v>
      </c>
      <c r="H53" s="5">
        <f t="shared" si="14"/>
        <v>0.79335334029123517</v>
      </c>
      <c r="I53" s="5">
        <f t="shared" si="14"/>
        <v>0.79335334029123517</v>
      </c>
      <c r="J53" s="5">
        <f t="shared" si="14"/>
        <v>0.79335334029123517</v>
      </c>
      <c r="K53" s="5">
        <f t="shared" si="14"/>
        <v>0.79335334029123517</v>
      </c>
      <c r="L53" s="5">
        <f t="shared" si="14"/>
        <v>0.79335334029123517</v>
      </c>
      <c r="M53" s="5">
        <f t="shared" si="14"/>
        <v>0.79335334029123517</v>
      </c>
      <c r="N53" s="101">
        <f t="shared" si="14"/>
        <v>0.79335334029123517</v>
      </c>
    </row>
    <row r="54" spans="2:14">
      <c r="B54" s="95" t="s">
        <v>37</v>
      </c>
      <c r="C54" s="5">
        <f>23.45*C39</f>
        <v>0.40927970959267029</v>
      </c>
      <c r="D54" s="5">
        <f t="shared" ref="D54:N54" si="15">23.45*D39</f>
        <v>0.40927970959267029</v>
      </c>
      <c r="E54" s="5">
        <f t="shared" si="15"/>
        <v>0.40927970959267029</v>
      </c>
      <c r="F54" s="5">
        <f t="shared" si="15"/>
        <v>0.40927970959267029</v>
      </c>
      <c r="G54" s="5">
        <f t="shared" si="15"/>
        <v>0.40927970959267029</v>
      </c>
      <c r="H54" s="5">
        <f t="shared" si="15"/>
        <v>0.40927970959267029</v>
      </c>
      <c r="I54" s="5">
        <f t="shared" si="15"/>
        <v>0.40927970959267029</v>
      </c>
      <c r="J54" s="5">
        <f t="shared" si="15"/>
        <v>0.40927970959267029</v>
      </c>
      <c r="K54" s="5">
        <f t="shared" si="15"/>
        <v>0.40927970959267029</v>
      </c>
      <c r="L54" s="5">
        <f t="shared" si="15"/>
        <v>0.40927970959267029</v>
      </c>
      <c r="M54" s="5">
        <f t="shared" si="15"/>
        <v>0.40927970959267029</v>
      </c>
      <c r="N54" s="101">
        <f t="shared" si="15"/>
        <v>0.40927970959267029</v>
      </c>
    </row>
    <row r="55" spans="2:14">
      <c r="B55" s="8" t="s">
        <v>14</v>
      </c>
      <c r="C55" s="1">
        <v>31</v>
      </c>
      <c r="D55" s="1">
        <v>28</v>
      </c>
      <c r="E55" s="1">
        <v>31</v>
      </c>
      <c r="F55" s="1">
        <v>30</v>
      </c>
      <c r="G55" s="1">
        <v>31</v>
      </c>
      <c r="H55" s="1">
        <v>30</v>
      </c>
      <c r="I55" s="1">
        <v>31</v>
      </c>
      <c r="J55" s="1">
        <v>31</v>
      </c>
      <c r="K55" s="1">
        <v>30</v>
      </c>
      <c r="L55" s="1">
        <v>31</v>
      </c>
      <c r="M55" s="1">
        <v>30</v>
      </c>
      <c r="N55" s="2">
        <v>31</v>
      </c>
    </row>
    <row r="56" spans="2:14">
      <c r="B56" s="95" t="s">
        <v>26</v>
      </c>
      <c r="C56" s="5">
        <f>1353*3.6</f>
        <v>4870.8</v>
      </c>
      <c r="D56" s="5">
        <f t="shared" ref="D56:N56" si="16">1353*3.6</f>
        <v>4870.8</v>
      </c>
      <c r="E56" s="5">
        <f t="shared" si="16"/>
        <v>4870.8</v>
      </c>
      <c r="F56" s="5">
        <f t="shared" si="16"/>
        <v>4870.8</v>
      </c>
      <c r="G56" s="5">
        <f t="shared" si="16"/>
        <v>4870.8</v>
      </c>
      <c r="H56" s="5">
        <f t="shared" si="16"/>
        <v>4870.8</v>
      </c>
      <c r="I56" s="5">
        <f t="shared" si="16"/>
        <v>4870.8</v>
      </c>
      <c r="J56" s="5">
        <f t="shared" si="16"/>
        <v>4870.8</v>
      </c>
      <c r="K56" s="5">
        <f t="shared" si="16"/>
        <v>4870.8</v>
      </c>
      <c r="L56" s="5">
        <f t="shared" si="16"/>
        <v>4870.8</v>
      </c>
      <c r="M56" s="5">
        <f t="shared" si="16"/>
        <v>4870.8</v>
      </c>
      <c r="N56" s="101">
        <f t="shared" si="16"/>
        <v>4870.8</v>
      </c>
    </row>
    <row r="57" spans="2:14">
      <c r="B57" s="23" t="s">
        <v>27</v>
      </c>
      <c r="C57" s="5">
        <f>(24*C56)/PI()</f>
        <v>37210.171046976189</v>
      </c>
      <c r="D57" s="5">
        <f t="shared" ref="D57:N57" si="17">(24*D56)/PI()</f>
        <v>37210.171046976189</v>
      </c>
      <c r="E57" s="5">
        <f t="shared" si="17"/>
        <v>37210.171046976189</v>
      </c>
      <c r="F57" s="5">
        <f t="shared" si="17"/>
        <v>37210.171046976189</v>
      </c>
      <c r="G57" s="5">
        <f t="shared" si="17"/>
        <v>37210.171046976189</v>
      </c>
      <c r="H57" s="5">
        <f t="shared" si="17"/>
        <v>37210.171046976189</v>
      </c>
      <c r="I57" s="5">
        <f t="shared" si="17"/>
        <v>37210.171046976189</v>
      </c>
      <c r="J57" s="5">
        <f t="shared" si="17"/>
        <v>37210.171046976189</v>
      </c>
      <c r="K57" s="5">
        <f t="shared" si="17"/>
        <v>37210.171046976189</v>
      </c>
      <c r="L57" s="5">
        <f t="shared" si="17"/>
        <v>37210.171046976189</v>
      </c>
      <c r="M57" s="5">
        <f t="shared" si="17"/>
        <v>37210.171046976189</v>
      </c>
      <c r="N57" s="102">
        <f t="shared" si="17"/>
        <v>37210.171046976189</v>
      </c>
    </row>
    <row r="58" spans="2:14">
      <c r="B58" s="21" t="s">
        <v>14</v>
      </c>
      <c r="C58" s="22">
        <v>15</v>
      </c>
      <c r="D58" s="22">
        <v>46</v>
      </c>
      <c r="E58" s="22">
        <v>74</v>
      </c>
      <c r="F58" s="22">
        <v>105</v>
      </c>
      <c r="G58" s="22">
        <v>135</v>
      </c>
      <c r="H58" s="22">
        <v>166</v>
      </c>
      <c r="I58" s="22">
        <v>196</v>
      </c>
      <c r="J58" s="22">
        <v>227</v>
      </c>
      <c r="K58" s="22">
        <v>258</v>
      </c>
      <c r="L58" s="22">
        <v>270</v>
      </c>
      <c r="M58" s="22">
        <v>319</v>
      </c>
      <c r="N58" s="24">
        <v>349</v>
      </c>
    </row>
    <row r="59" spans="2:14">
      <c r="B59" s="95" t="s">
        <v>38</v>
      </c>
      <c r="C59" s="5">
        <f>(360*C39)/365</f>
        <v>1.7214206321039961E-2</v>
      </c>
      <c r="D59" s="5">
        <f t="shared" ref="D59:N59" si="18">(360*D39)/365</f>
        <v>1.7214206321039961E-2</v>
      </c>
      <c r="E59" s="5">
        <f t="shared" si="18"/>
        <v>1.7214206321039961E-2</v>
      </c>
      <c r="F59" s="5">
        <f t="shared" si="18"/>
        <v>1.7214206321039961E-2</v>
      </c>
      <c r="G59" s="5">
        <f t="shared" si="18"/>
        <v>1.7214206321039961E-2</v>
      </c>
      <c r="H59" s="5">
        <f t="shared" si="18"/>
        <v>1.7214206321039961E-2</v>
      </c>
      <c r="I59" s="5">
        <f t="shared" si="18"/>
        <v>1.7214206321039961E-2</v>
      </c>
      <c r="J59" s="5">
        <f t="shared" si="18"/>
        <v>1.7214206321039961E-2</v>
      </c>
      <c r="K59" s="5">
        <f t="shared" si="18"/>
        <v>1.7214206321039961E-2</v>
      </c>
      <c r="L59" s="5">
        <f t="shared" si="18"/>
        <v>1.7214206321039961E-2</v>
      </c>
      <c r="M59" s="5">
        <f t="shared" si="18"/>
        <v>1.7214206321039961E-2</v>
      </c>
      <c r="N59" s="101">
        <f t="shared" si="18"/>
        <v>1.7214206321039961E-2</v>
      </c>
    </row>
    <row r="60" spans="2:14">
      <c r="B60" s="95" t="s">
        <v>39</v>
      </c>
      <c r="C60" s="5">
        <f>C54*SIN(C59*(284+C58))</f>
        <v>-0.37122234990040354</v>
      </c>
      <c r="D60" s="5">
        <f t="shared" ref="D60:N60" si="19">D54*SIN(D59*(284+D58))</f>
        <v>-0.23193953024048489</v>
      </c>
      <c r="E60" s="5">
        <f t="shared" si="19"/>
        <v>-4.9198713707110125E-2</v>
      </c>
      <c r="F60" s="5">
        <f t="shared" si="19"/>
        <v>0.16432088762716554</v>
      </c>
      <c r="G60" s="5">
        <f t="shared" si="19"/>
        <v>0.32798083344699769</v>
      </c>
      <c r="H60" s="5">
        <f t="shared" si="19"/>
        <v>0.40691321620538912</v>
      </c>
      <c r="I60" s="5">
        <f t="shared" si="19"/>
        <v>0.37554836000057829</v>
      </c>
      <c r="J60" s="5">
        <f t="shared" si="19"/>
        <v>0.24056857736111795</v>
      </c>
      <c r="K60" s="5">
        <f t="shared" si="19"/>
        <v>3.8691973511018649E-2</v>
      </c>
      <c r="L60" s="5">
        <f t="shared" si="19"/>
        <v>-4.5699766008172903E-2</v>
      </c>
      <c r="M60" s="5">
        <f t="shared" si="19"/>
        <v>-0.33419245656714902</v>
      </c>
      <c r="N60" s="101">
        <f t="shared" si="19"/>
        <v>-0.40727641274141724</v>
      </c>
    </row>
    <row r="61" spans="2:14">
      <c r="B61" s="23" t="s">
        <v>41</v>
      </c>
      <c r="C61" s="5">
        <f>SIN(C60)</f>
        <v>-0.36275479176733588</v>
      </c>
      <c r="D61" s="5">
        <f t="shared" ref="D61:N61" si="20">SIN(D60)</f>
        <v>-0.22986554896822295</v>
      </c>
      <c r="E61" s="5">
        <f t="shared" si="20"/>
        <v>-4.9178868417837161E-2</v>
      </c>
      <c r="F61" s="5">
        <f t="shared" si="20"/>
        <v>0.16358240425600395</v>
      </c>
      <c r="G61" s="5">
        <f t="shared" si="20"/>
        <v>0.32213215206816698</v>
      </c>
      <c r="H61" s="5">
        <f t="shared" si="20"/>
        <v>0.39577647976650848</v>
      </c>
      <c r="I61" s="5">
        <f t="shared" si="20"/>
        <v>0.36678272715173194</v>
      </c>
      <c r="J61" s="5">
        <f t="shared" si="20"/>
        <v>0.23825486875759558</v>
      </c>
      <c r="K61" s="5">
        <f t="shared" si="20"/>
        <v>3.868232014248444E-2</v>
      </c>
      <c r="L61" s="5">
        <f t="shared" si="20"/>
        <v>-4.5683860581339865E-2</v>
      </c>
      <c r="M61" s="5">
        <f t="shared" si="20"/>
        <v>-0.32800641041381234</v>
      </c>
      <c r="N61" s="101">
        <f t="shared" si="20"/>
        <v>-0.3961099940583282</v>
      </c>
    </row>
    <row r="62" spans="2:14">
      <c r="B62" s="23" t="s">
        <v>42</v>
      </c>
      <c r="C62" s="5">
        <f>COS(C60)</f>
        <v>0.93188462861549382</v>
      </c>
      <c r="D62" s="5">
        <f t="shared" ref="D62:N62" si="21">COS(D60)</f>
        <v>0.97322239462393045</v>
      </c>
      <c r="E62" s="5">
        <f t="shared" si="21"/>
        <v>0.99878998738530667</v>
      </c>
      <c r="F62" s="5">
        <f t="shared" si="21"/>
        <v>0.9865296736631014</v>
      </c>
      <c r="G62" s="5">
        <f t="shared" si="21"/>
        <v>0.94669471140591643</v>
      </c>
      <c r="H62" s="5">
        <f t="shared" si="21"/>
        <v>0.91834687240912982</v>
      </c>
      <c r="I62" s="5">
        <f t="shared" si="21"/>
        <v>0.93030663281691062</v>
      </c>
      <c r="J62" s="5">
        <f t="shared" si="21"/>
        <v>0.97120266552007617</v>
      </c>
      <c r="K62" s="5">
        <f t="shared" si="21"/>
        <v>0.99925155897221118</v>
      </c>
      <c r="L62" s="5">
        <f t="shared" si="21"/>
        <v>0.99895594741829563</v>
      </c>
      <c r="M62" s="5">
        <f t="shared" si="21"/>
        <v>0.94467549705041343</v>
      </c>
      <c r="N62" s="101">
        <f t="shared" si="21"/>
        <v>0.91820306719543865</v>
      </c>
    </row>
    <row r="63" spans="2:14">
      <c r="B63" s="95" t="s">
        <v>43</v>
      </c>
      <c r="C63" s="5">
        <f>-C48*TAN(C60)</f>
        <v>-0.25279493727939895</v>
      </c>
      <c r="D63" s="5">
        <f t="shared" ref="D63:N63" si="22">-D48*TAN(D60)</f>
        <v>-0.15338368058429347</v>
      </c>
      <c r="E63" s="5">
        <f t="shared" si="22"/>
        <v>-3.1975821723054777E-2</v>
      </c>
      <c r="F63" s="5">
        <f t="shared" si="22"/>
        <v>0.10768216939983473</v>
      </c>
      <c r="G63" s="5">
        <f t="shared" si="22"/>
        <v>0.22097415676427687</v>
      </c>
      <c r="H63" s="5">
        <f t="shared" si="22"/>
        <v>0.27987273533703205</v>
      </c>
      <c r="I63" s="5">
        <f t="shared" si="22"/>
        <v>0.25603546149595474</v>
      </c>
      <c r="J63" s="5">
        <f t="shared" si="22"/>
        <v>0.15931229019496604</v>
      </c>
      <c r="K63" s="5">
        <f t="shared" si="22"/>
        <v>2.5139407787228688E-2</v>
      </c>
      <c r="L63" s="5">
        <f t="shared" si="22"/>
        <v>-2.9698452694306664E-2</v>
      </c>
      <c r="M63" s="5">
        <f t="shared" si="22"/>
        <v>-0.2254846814649849</v>
      </c>
      <c r="N63" s="101">
        <f t="shared" si="22"/>
        <v>-0.2801524489224414</v>
      </c>
    </row>
    <row r="64" spans="2:14">
      <c r="B64" s="95" t="s">
        <v>43</v>
      </c>
      <c r="C64" s="5">
        <f>ATAN(SQRT(1-C63^2)/C63)/C39</f>
        <v>-75.357035975139581</v>
      </c>
      <c r="D64" s="5">
        <f t="shared" ref="D64:N64" si="23">ATAN(SQRT(1-D63^2)/D63)/D39</f>
        <v>-81.176932953233873</v>
      </c>
      <c r="E64" s="5">
        <f t="shared" si="23"/>
        <v>-88.167608022467178</v>
      </c>
      <c r="F64" s="5">
        <f t="shared" si="23"/>
        <v>83.818280042663901</v>
      </c>
      <c r="G64" s="5">
        <f t="shared" si="23"/>
        <v>77.233743659218291</v>
      </c>
      <c r="H64" s="5">
        <f t="shared" si="23"/>
        <v>73.747390694945281</v>
      </c>
      <c r="I64" s="5">
        <f t="shared" si="23"/>
        <v>75.165050235055276</v>
      </c>
      <c r="J64" s="5">
        <f t="shared" si="23"/>
        <v>80.833018649384044</v>
      </c>
      <c r="K64" s="5">
        <f t="shared" si="23"/>
        <v>88.559466273378604</v>
      </c>
      <c r="L64" s="5">
        <f t="shared" si="23"/>
        <v>-88.298153769146509</v>
      </c>
      <c r="M64" s="5">
        <f t="shared" si="23"/>
        <v>-76.968619195469273</v>
      </c>
      <c r="N64" s="101">
        <f t="shared" si="23"/>
        <v>-73.730696456088936</v>
      </c>
    </row>
    <row r="65" spans="2:14">
      <c r="B65" s="95" t="s">
        <v>43</v>
      </c>
      <c r="C65" s="5">
        <f>IF(C64&lt;0,C64+180,C64)</f>
        <v>104.64296402486042</v>
      </c>
      <c r="D65" s="5">
        <f t="shared" ref="D65:N65" si="24">IF(D64&lt;0,D64+180,D64)</f>
        <v>98.823067046766127</v>
      </c>
      <c r="E65" s="5">
        <f t="shared" si="24"/>
        <v>91.832391977532822</v>
      </c>
      <c r="F65" s="5">
        <f t="shared" si="24"/>
        <v>83.818280042663901</v>
      </c>
      <c r="G65" s="5">
        <f t="shared" si="24"/>
        <v>77.233743659218291</v>
      </c>
      <c r="H65" s="5">
        <f t="shared" si="24"/>
        <v>73.747390694945281</v>
      </c>
      <c r="I65" s="5">
        <f t="shared" si="24"/>
        <v>75.165050235055276</v>
      </c>
      <c r="J65" s="5">
        <f t="shared" si="24"/>
        <v>80.833018649384044</v>
      </c>
      <c r="K65" s="5">
        <f t="shared" si="24"/>
        <v>88.559466273378604</v>
      </c>
      <c r="L65" s="5">
        <f t="shared" si="24"/>
        <v>91.701846230853491</v>
      </c>
      <c r="M65" s="5">
        <f t="shared" si="24"/>
        <v>103.03138080453073</v>
      </c>
      <c r="N65" s="101">
        <f t="shared" si="24"/>
        <v>106.26930354391106</v>
      </c>
    </row>
    <row r="66" spans="2:14">
      <c r="B66" s="95" t="s">
        <v>51</v>
      </c>
      <c r="C66" s="5">
        <f>C65*C39</f>
        <v>1.8263642612797917</v>
      </c>
      <c r="D66" s="5">
        <f t="shared" ref="D66:N66" si="25">D65*D39</f>
        <v>1.724787896885178</v>
      </c>
      <c r="E66" s="5">
        <f t="shared" si="25"/>
        <v>1.6027775999899743</v>
      </c>
      <c r="F66" s="5">
        <f t="shared" si="25"/>
        <v>1.4629049601031383</v>
      </c>
      <c r="G66" s="5">
        <f t="shared" si="25"/>
        <v>1.3479831204946526</v>
      </c>
      <c r="H66" s="5">
        <f t="shared" si="25"/>
        <v>1.2871347823814243</v>
      </c>
      <c r="I66" s="5">
        <f t="shared" si="25"/>
        <v>1.3118776090286524</v>
      </c>
      <c r="J66" s="5">
        <f t="shared" si="25"/>
        <v>1.4108023197577315</v>
      </c>
      <c r="K66" s="5">
        <f t="shared" si="25"/>
        <v>1.5456542702793294</v>
      </c>
      <c r="L66" s="5">
        <f t="shared" si="25"/>
        <v>1.6004991468859455</v>
      </c>
      <c r="M66" s="5">
        <f t="shared" si="25"/>
        <v>1.7982368279151453</v>
      </c>
      <c r="N66" s="101">
        <f t="shared" si="25"/>
        <v>1.8547492406425266</v>
      </c>
    </row>
    <row r="67" spans="2:14">
      <c r="B67" s="23" t="s">
        <v>44</v>
      </c>
      <c r="C67" s="5">
        <f>C52*TAN(C60)</f>
        <v>0.49824296485109404</v>
      </c>
      <c r="D67" s="5">
        <f>D52*TAN(D60)</f>
        <v>0.30230961346202351</v>
      </c>
      <c r="E67" s="5">
        <f t="shared" ref="E67:N67" si="26">-E52*TAN(E60)</f>
        <v>-6.3022338937256714E-2</v>
      </c>
      <c r="F67" s="5">
        <f t="shared" si="26"/>
        <v>0.2122348015382651</v>
      </c>
      <c r="G67" s="5">
        <f t="shared" si="26"/>
        <v>0.43552620240973494</v>
      </c>
      <c r="H67" s="5">
        <f t="shared" si="26"/>
        <v>0.55161160637164464</v>
      </c>
      <c r="I67" s="5">
        <f t="shared" si="26"/>
        <v>0.5046298348205035</v>
      </c>
      <c r="J67" s="5">
        <f t="shared" si="26"/>
        <v>0.31399453113346182</v>
      </c>
      <c r="K67" s="5">
        <f t="shared" si="26"/>
        <v>4.9548195882838382E-2</v>
      </c>
      <c r="L67" s="5">
        <f t="shared" si="26"/>
        <v>-5.8533787429243637E-2</v>
      </c>
      <c r="M67" s="5">
        <f t="shared" si="26"/>
        <v>-0.44441616367280806</v>
      </c>
      <c r="N67" s="101">
        <f t="shared" si="26"/>
        <v>-0.55216290430349146</v>
      </c>
    </row>
    <row r="68" spans="2:14">
      <c r="B68" s="23" t="s">
        <v>44</v>
      </c>
      <c r="C68" s="5">
        <f>ATAN(SQRT(1+C67^2)/C67)/C39</f>
        <v>65.965277314074299</v>
      </c>
      <c r="D68" s="5">
        <f t="shared" ref="D68:N68" si="27">ATAN(SQRT(1+D67^2)/D67)/D39</f>
        <v>73.860852134133282</v>
      </c>
      <c r="E68" s="5">
        <f t="shared" si="27"/>
        <v>-86.400976653018546</v>
      </c>
      <c r="F68" s="5">
        <f t="shared" si="27"/>
        <v>78.27140727849158</v>
      </c>
      <c r="G68" s="5">
        <f t="shared" si="27"/>
        <v>68.233204018233081</v>
      </c>
      <c r="H68" s="5">
        <f t="shared" si="27"/>
        <v>64.219373727503651</v>
      </c>
      <c r="I68" s="5">
        <f t="shared" si="27"/>
        <v>65.747614740070489</v>
      </c>
      <c r="J68" s="5">
        <f t="shared" si="27"/>
        <v>73.323164187383171</v>
      </c>
      <c r="K68" s="5">
        <f t="shared" si="27"/>
        <v>87.166887143286147</v>
      </c>
      <c r="L68" s="5">
        <f t="shared" si="27"/>
        <v>-86.655794407280851</v>
      </c>
      <c r="M68" s="5">
        <f t="shared" si="27"/>
        <v>-67.897098448353489</v>
      </c>
      <c r="N68" s="5">
        <f t="shared" si="27"/>
        <v>-64.202187730004937</v>
      </c>
    </row>
    <row r="69" spans="2:14">
      <c r="B69" s="23" t="s">
        <v>44</v>
      </c>
      <c r="C69" s="5">
        <f>IF(C68&lt;0,C68+180,C68)</f>
        <v>65.965277314074299</v>
      </c>
      <c r="D69" s="5">
        <f t="shared" ref="D69:N69" si="28">IF(D68&lt;0,D68+180,D68)</f>
        <v>73.860852134133282</v>
      </c>
      <c r="E69" s="5">
        <f t="shared" si="28"/>
        <v>93.599023346981454</v>
      </c>
      <c r="F69" s="5">
        <f t="shared" si="28"/>
        <v>78.27140727849158</v>
      </c>
      <c r="G69" s="5">
        <f t="shared" si="28"/>
        <v>68.233204018233081</v>
      </c>
      <c r="H69" s="5">
        <f t="shared" si="28"/>
        <v>64.219373727503651</v>
      </c>
      <c r="I69" s="5">
        <f t="shared" si="28"/>
        <v>65.747614740070489</v>
      </c>
      <c r="J69" s="5">
        <f t="shared" si="28"/>
        <v>73.323164187383171</v>
      </c>
      <c r="K69" s="5">
        <f t="shared" si="28"/>
        <v>87.166887143286147</v>
      </c>
      <c r="L69" s="5">
        <f t="shared" si="28"/>
        <v>93.344205592719149</v>
      </c>
      <c r="M69" s="5">
        <f t="shared" si="28"/>
        <v>112.10290155164651</v>
      </c>
      <c r="N69" s="101">
        <f t="shared" si="28"/>
        <v>115.79781226999506</v>
      </c>
    </row>
    <row r="70" spans="2:14">
      <c r="B70" s="23" t="s">
        <v>45</v>
      </c>
      <c r="C70" s="5">
        <f>C69*C39</f>
        <v>1.1513112811217181</v>
      </c>
      <c r="D70" s="5">
        <f t="shared" ref="D70:N70" si="29">D69*D39</f>
        <v>1.2891150580693063</v>
      </c>
      <c r="E70" s="5">
        <f t="shared" si="29"/>
        <v>1.6336111340558692</v>
      </c>
      <c r="F70" s="5">
        <f t="shared" si="29"/>
        <v>1.3660937671791322</v>
      </c>
      <c r="G70" s="5">
        <f t="shared" si="29"/>
        <v>1.1908940693031922</v>
      </c>
      <c r="H70" s="5">
        <f t="shared" si="29"/>
        <v>1.1208395151136825</v>
      </c>
      <c r="I70" s="5">
        <f t="shared" si="29"/>
        <v>1.1475123525469859</v>
      </c>
      <c r="J70" s="5">
        <f t="shared" si="29"/>
        <v>1.2797306330502287</v>
      </c>
      <c r="K70" s="5">
        <f t="shared" si="29"/>
        <v>1.5213491793646574</v>
      </c>
      <c r="L70" s="5">
        <f t="shared" si="29"/>
        <v>1.6291637252514541</v>
      </c>
      <c r="M70" s="5">
        <f t="shared" si="29"/>
        <v>1.9565647331152918</v>
      </c>
      <c r="N70" s="101">
        <f t="shared" si="29"/>
        <v>2.0210530907177029</v>
      </c>
    </row>
    <row r="71" spans="2:14">
      <c r="B71" s="95" t="s">
        <v>46</v>
      </c>
      <c r="C71" s="5">
        <f>C66*C46*C61+C47*C62*SIN(C66)</f>
        <v>1.1169951152829716</v>
      </c>
      <c r="D71" s="5">
        <f t="shared" ref="D71:N71" si="30">D66*D46*D61+D47*D62*SIN(D66)</f>
        <v>1.0224871595686147</v>
      </c>
      <c r="E71" s="5">
        <f t="shared" si="30"/>
        <v>0.88015739213312139</v>
      </c>
      <c r="F71" s="5">
        <f t="shared" si="30"/>
        <v>0.69222740934784766</v>
      </c>
      <c r="G71" s="5">
        <f t="shared" si="30"/>
        <v>0.53784000745338212</v>
      </c>
      <c r="H71" s="5">
        <f t="shared" si="30"/>
        <v>0.4619627049485312</v>
      </c>
      <c r="I71" s="5">
        <f t="shared" si="30"/>
        <v>0.49214782785352545</v>
      </c>
      <c r="J71" s="5">
        <f t="shared" si="30"/>
        <v>0.6210464443360949</v>
      </c>
      <c r="K71" s="5">
        <f t="shared" si="30"/>
        <v>0.8052143214044124</v>
      </c>
      <c r="L71" s="5">
        <f t="shared" si="30"/>
        <v>0.87724776486471778</v>
      </c>
      <c r="M71" s="5">
        <f t="shared" si="30"/>
        <v>1.0931141283331729</v>
      </c>
      <c r="N71" s="101">
        <f t="shared" si="30"/>
        <v>1.1393708135012601</v>
      </c>
    </row>
    <row r="72" spans="2:14">
      <c r="B72" s="95" t="s">
        <v>46</v>
      </c>
      <c r="C72" s="5">
        <f>C57*(1+0.033*COS(C59*C58))*C71</f>
        <v>42889.705938732419</v>
      </c>
      <c r="D72" s="5">
        <f t="shared" ref="D72:N72" si="31">D57*(1+0.033*COS(D59*D58))*D71</f>
        <v>38928.979367638691</v>
      </c>
      <c r="E72" s="5">
        <f t="shared" si="31"/>
        <v>33067.042715566859</v>
      </c>
      <c r="F72" s="5">
        <f t="shared" si="31"/>
        <v>25558.580112683896</v>
      </c>
      <c r="G72" s="5">
        <f t="shared" si="31"/>
        <v>19561.435775166199</v>
      </c>
      <c r="H72" s="5">
        <f t="shared" si="31"/>
        <v>16645.179397969245</v>
      </c>
      <c r="I72" s="5">
        <f t="shared" si="31"/>
        <v>17724.824278593533</v>
      </c>
      <c r="J72" s="5">
        <f t="shared" si="31"/>
        <v>22559.660002769513</v>
      </c>
      <c r="K72" s="5">
        <f t="shared" si="31"/>
        <v>29697.36086866746</v>
      </c>
      <c r="L72" s="5">
        <f t="shared" si="31"/>
        <v>32573.050634341915</v>
      </c>
      <c r="M72" s="5">
        <f t="shared" si="31"/>
        <v>41617.947912724703</v>
      </c>
      <c r="N72" s="101">
        <f t="shared" si="31"/>
        <v>43742.524499511528</v>
      </c>
    </row>
    <row r="73" spans="2:14">
      <c r="B73" s="95" t="s">
        <v>52</v>
      </c>
      <c r="C73" s="5">
        <f>VLOOKUP('Ángulo de Inclinación'!$P$24,$A$3:$O$35,3,FALSE)*86.01</f>
        <v>15739.830000000002</v>
      </c>
      <c r="D73" s="5">
        <f>VLOOKUP('Ángulo de Inclinación'!$P$24,$A$3:$O$35,4,FALSE)*86.01</f>
        <v>13417.560000000001</v>
      </c>
      <c r="E73" s="5">
        <f>VLOOKUP('Ángulo de Inclinación'!$P$24,$A$3:$O$35,5,FALSE)*86.01</f>
        <v>10837.26</v>
      </c>
      <c r="F73" s="5">
        <f>VLOOKUP('Ángulo de Inclinación'!$P$24,$A$3:$O$35,6,FALSE)*86.01</f>
        <v>7224.84</v>
      </c>
      <c r="G73" s="5">
        <f>VLOOKUP('Ángulo de Inclinación'!$P$24,$A$3:$O$35,7,FALSE)*86.01</f>
        <v>4902.5700000000006</v>
      </c>
      <c r="H73" s="5">
        <f>VLOOKUP('Ángulo de Inclinación'!$P$24,$A$3:$O$35,8,FALSE)*86.01</f>
        <v>3870.4500000000003</v>
      </c>
      <c r="I73" s="5">
        <f>VLOOKUP('Ángulo de Inclinación'!$P$24,$A$3:$O$35,9,FALSE)*86.01</f>
        <v>4644.54</v>
      </c>
      <c r="J73" s="5">
        <f>VLOOKUP('Ángulo de Inclinación'!$P$24,$A$3:$O$35,10,FALSE)*86.01</f>
        <v>6708.7800000000007</v>
      </c>
      <c r="K73" s="5">
        <f>VLOOKUP('Ángulo de Inclinación'!$P$24,$A$3:$O$35,11,FALSE)*86.01</f>
        <v>9289.08</v>
      </c>
      <c r="L73" s="5">
        <f>VLOOKUP('Ángulo de Inclinación'!$P$24,$A$3:$O$35,12,FALSE)*86.01</f>
        <v>11611.35</v>
      </c>
      <c r="M73" s="5">
        <f>VLOOKUP('Ángulo de Inclinación'!$P$24,$A$3:$O$35,13,FALSE)*86.01</f>
        <v>14449.68</v>
      </c>
      <c r="N73" s="101">
        <f>VLOOKUP('Ángulo de Inclinación'!$P$24,$A$3:$O$35,14,FALSE)*86.01</f>
        <v>15739.830000000002</v>
      </c>
    </row>
    <row r="74" spans="2:14">
      <c r="B74" s="95" t="s">
        <v>47</v>
      </c>
      <c r="C74" s="5">
        <f>C73/C72</f>
        <v>0.36698386373840414</v>
      </c>
      <c r="D74" s="5">
        <f t="shared" ref="D74:N74" si="32">D73/D72</f>
        <v>0.34466765422455176</v>
      </c>
      <c r="E74" s="5">
        <f t="shared" si="32"/>
        <v>0.32773599058189079</v>
      </c>
      <c r="F74" s="5">
        <f t="shared" si="32"/>
        <v>0.28267767490004447</v>
      </c>
      <c r="G74" s="5">
        <f t="shared" si="32"/>
        <v>0.25062424130563837</v>
      </c>
      <c r="H74" s="5">
        <f t="shared" si="32"/>
        <v>0.23252678192655618</v>
      </c>
      <c r="I74" s="5">
        <f t="shared" si="32"/>
        <v>0.26203588407977974</v>
      </c>
      <c r="J74" s="5">
        <f t="shared" si="32"/>
        <v>0.29737948174646267</v>
      </c>
      <c r="K74" s="5">
        <f t="shared" si="32"/>
        <v>0.31279143089783951</v>
      </c>
      <c r="L74" s="5">
        <f t="shared" si="32"/>
        <v>0.35647106346735918</v>
      </c>
      <c r="M74" s="5">
        <f t="shared" si="32"/>
        <v>0.34719828162363586</v>
      </c>
      <c r="N74" s="101">
        <f t="shared" si="32"/>
        <v>0.35982902633284847</v>
      </c>
    </row>
    <row r="75" spans="2:14">
      <c r="B75" s="95" t="s">
        <v>48</v>
      </c>
      <c r="C75" s="5">
        <f>C74</f>
        <v>0.36698386373840414</v>
      </c>
      <c r="D75" s="5">
        <f t="shared" ref="D75:N75" si="33">D74</f>
        <v>0.34466765422455176</v>
      </c>
      <c r="E75" s="5">
        <f t="shared" si="33"/>
        <v>0.32773599058189079</v>
      </c>
      <c r="F75" s="5">
        <f t="shared" si="33"/>
        <v>0.28267767490004447</v>
      </c>
      <c r="G75" s="5">
        <f t="shared" si="33"/>
        <v>0.25062424130563837</v>
      </c>
      <c r="H75" s="5">
        <f t="shared" si="33"/>
        <v>0.23252678192655618</v>
      </c>
      <c r="I75" s="5">
        <f t="shared" si="33"/>
        <v>0.26203588407977974</v>
      </c>
      <c r="J75" s="5">
        <f t="shared" si="33"/>
        <v>0.29737948174646267</v>
      </c>
      <c r="K75" s="5">
        <f t="shared" si="33"/>
        <v>0.31279143089783951</v>
      </c>
      <c r="L75" s="5">
        <f t="shared" si="33"/>
        <v>0.35647106346735918</v>
      </c>
      <c r="M75" s="5">
        <f t="shared" si="33"/>
        <v>0.34719828162363586</v>
      </c>
      <c r="N75" s="101">
        <f t="shared" si="33"/>
        <v>0.35982902633284847</v>
      </c>
    </row>
    <row r="76" spans="2:14">
      <c r="B76" s="95" t="s">
        <v>49</v>
      </c>
      <c r="C76" s="5">
        <f>1.39-4.03*C74+5.53*C74^2-3.11*C74^3</f>
        <v>0.50210999595086325</v>
      </c>
      <c r="D76" s="5">
        <f t="shared" ref="D76:N76" si="34">1.39-4.03*D74+5.53*D74^2-3.11*D74^3</f>
        <v>0.53059092440270417</v>
      </c>
      <c r="E76" s="5">
        <f t="shared" si="34"/>
        <v>0.55372662350658697</v>
      </c>
      <c r="F76" s="5">
        <f t="shared" si="34"/>
        <v>0.62244468888591808</v>
      </c>
      <c r="G76" s="5">
        <f t="shared" si="34"/>
        <v>0.67837881927337285</v>
      </c>
      <c r="H76" s="5">
        <f t="shared" si="34"/>
        <v>0.71281677183707282</v>
      </c>
      <c r="I76" s="5">
        <f t="shared" si="34"/>
        <v>0.6577452071613652</v>
      </c>
      <c r="J76" s="5">
        <f t="shared" si="34"/>
        <v>0.59881506823328556</v>
      </c>
      <c r="K76" s="5">
        <f t="shared" si="34"/>
        <v>0.57532187576705285</v>
      </c>
      <c r="L76" s="5">
        <f t="shared" si="34"/>
        <v>0.51525289314036993</v>
      </c>
      <c r="M76" s="5">
        <f t="shared" si="34"/>
        <v>0.52724922107140038</v>
      </c>
      <c r="N76" s="101">
        <f t="shared" si="34"/>
        <v>0.51100291449670276</v>
      </c>
    </row>
    <row r="77" spans="2:14">
      <c r="B77" s="95" t="s">
        <v>40</v>
      </c>
      <c r="C77" s="5">
        <f>C47*C62*SIN(C66)+C66*C46*C61</f>
        <v>1.1169951152829716</v>
      </c>
      <c r="D77" s="5">
        <f t="shared" ref="D77:N77" si="35">D47*D62*SIN(D66)+D66*D46*D61</f>
        <v>1.0224871595686147</v>
      </c>
      <c r="E77" s="5">
        <f t="shared" si="35"/>
        <v>0.88015739213312139</v>
      </c>
      <c r="F77" s="5">
        <f t="shared" si="35"/>
        <v>0.69222740934784766</v>
      </c>
      <c r="G77" s="5">
        <f t="shared" si="35"/>
        <v>0.53784000745338212</v>
      </c>
      <c r="H77" s="5">
        <f t="shared" si="35"/>
        <v>0.4619627049485312</v>
      </c>
      <c r="I77" s="5">
        <f t="shared" si="35"/>
        <v>0.49214782785352545</v>
      </c>
      <c r="J77" s="5">
        <f t="shared" si="35"/>
        <v>0.6210464443360949</v>
      </c>
      <c r="K77" s="5">
        <f t="shared" si="35"/>
        <v>0.8052143214044124</v>
      </c>
      <c r="L77" s="5">
        <f t="shared" si="35"/>
        <v>0.87724776486471778</v>
      </c>
      <c r="M77" s="5">
        <f t="shared" si="35"/>
        <v>1.0931141283331729</v>
      </c>
      <c r="N77" s="101">
        <f t="shared" si="35"/>
        <v>1.1393708135012601</v>
      </c>
    </row>
    <row r="78" spans="2:14">
      <c r="B78" s="95" t="s">
        <v>40</v>
      </c>
      <c r="C78" s="5">
        <f>(C51*C62*SIN(IF(C69&gt;C65,C66,C70))+IF(C69&gt;C65,C66,C70)*C50*C61)/C77</f>
        <v>0.76373699394545058</v>
      </c>
      <c r="D78" s="5">
        <f t="shared" ref="D78:N78" si="36">(D51*D62*SIN(IF(D69&gt;D65,D66,D70))+IF(D69&gt;D65,D66,D70)*D50*D61)/D77</f>
        <v>0.79127401539289255</v>
      </c>
      <c r="E78" s="5">
        <f t="shared" si="36"/>
        <v>0.76885712291143149</v>
      </c>
      <c r="F78" s="5">
        <f t="shared" si="36"/>
        <v>0.60470224796865435</v>
      </c>
      <c r="G78" s="5">
        <f t="shared" si="36"/>
        <v>0.44434478495992868</v>
      </c>
      <c r="H78" s="5">
        <f t="shared" si="36"/>
        <v>0.34537861243934814</v>
      </c>
      <c r="I78" s="5">
        <f t="shared" si="36"/>
        <v>0.38716310331289028</v>
      </c>
      <c r="J78" s="5">
        <f t="shared" si="36"/>
        <v>0.53541262193195671</v>
      </c>
      <c r="K78" s="5">
        <f t="shared" si="36"/>
        <v>0.70549522552747879</v>
      </c>
      <c r="L78" s="5">
        <f t="shared" si="36"/>
        <v>0.7664475228513058</v>
      </c>
      <c r="M78" s="5">
        <f t="shared" si="36"/>
        <v>0.94355847565575346</v>
      </c>
      <c r="N78" s="101">
        <f t="shared" si="36"/>
        <v>0.98440688568229817</v>
      </c>
    </row>
    <row r="79" spans="2:14">
      <c r="B79" s="95" t="s">
        <v>50</v>
      </c>
      <c r="C79" s="5">
        <f>((1-C76)*C78+C76*(1+C43)/2+0.2*(1-C43)/2)</f>
        <v>0.87413731950629536</v>
      </c>
      <c r="D79" s="5">
        <f t="shared" ref="D79:N79" si="37">((1-D76)*D78+D76*(1+D43)/2+0.2*(1-D43)/2)</f>
        <v>0.89301659628474339</v>
      </c>
      <c r="E79" s="5">
        <f t="shared" si="37"/>
        <v>0.8872113226407411</v>
      </c>
      <c r="F79" s="5">
        <f t="shared" si="37"/>
        <v>0.83924554005860397</v>
      </c>
      <c r="G79" s="5">
        <f t="shared" si="37"/>
        <v>0.80825813392333923</v>
      </c>
      <c r="H79" s="5">
        <f t="shared" si="37"/>
        <v>0.7980342226027155</v>
      </c>
      <c r="I79" s="5">
        <f t="shared" si="37"/>
        <v>0.77778432943111298</v>
      </c>
      <c r="J79" s="5">
        <f t="shared" si="37"/>
        <v>0.8027505379351928</v>
      </c>
      <c r="K79" s="5">
        <f t="shared" si="37"/>
        <v>0.86470622959909993</v>
      </c>
      <c r="L79" s="5">
        <f t="shared" si="37"/>
        <v>0.87819839906990871</v>
      </c>
      <c r="M79" s="5">
        <f t="shared" si="37"/>
        <v>0.96440272355334788</v>
      </c>
      <c r="N79" s="101">
        <f t="shared" si="37"/>
        <v>0.98390307165745194</v>
      </c>
    </row>
    <row r="80" spans="2:14">
      <c r="B80" s="94"/>
      <c r="N80" s="101"/>
    </row>
    <row r="81" spans="2:15">
      <c r="B81" s="25" t="s">
        <v>53</v>
      </c>
      <c r="C81" s="5">
        <f>C61*C46*C43</f>
        <v>0.18680650184862224</v>
      </c>
      <c r="D81" s="5">
        <f t="shared" ref="D81:N81" si="38">D61*D46*D43</f>
        <v>0.11837301690506148</v>
      </c>
      <c r="E81" s="5">
        <f t="shared" si="38"/>
        <v>2.532546111727774E-2</v>
      </c>
      <c r="F81" s="5">
        <f t="shared" si="38"/>
        <v>-8.4239429489468373E-2</v>
      </c>
      <c r="G81" s="5">
        <f t="shared" si="38"/>
        <v>-0.16588721038706139</v>
      </c>
      <c r="H81" s="5">
        <f t="shared" si="38"/>
        <v>-0.2038115591497496</v>
      </c>
      <c r="I81" s="5">
        <f t="shared" si="38"/>
        <v>-0.18888075292926385</v>
      </c>
      <c r="J81" s="5">
        <f t="shared" si="38"/>
        <v>-0.12269323408291556</v>
      </c>
      <c r="K81" s="5">
        <f t="shared" si="38"/>
        <v>-1.9920092230899345E-2</v>
      </c>
      <c r="L81" s="5">
        <f t="shared" si="38"/>
        <v>2.3525649777257362E-2</v>
      </c>
      <c r="M81" s="5">
        <f t="shared" si="38"/>
        <v>0.16891225561708806</v>
      </c>
      <c r="N81" s="101">
        <f t="shared" si="38"/>
        <v>0.20398330777881063</v>
      </c>
    </row>
    <row r="82" spans="2:15">
      <c r="B82" s="25" t="s">
        <v>53</v>
      </c>
      <c r="C82" s="5">
        <f>C81-C61*C47*C42</f>
        <v>0.28585467683502785</v>
      </c>
      <c r="D82" s="5">
        <f t="shared" ref="D82:N82" si="39">D81-D61*D47*D42</f>
        <v>0.18113652447067224</v>
      </c>
      <c r="E82" s="5">
        <f t="shared" si="39"/>
        <v>3.875347716346568E-2</v>
      </c>
      <c r="F82" s="5">
        <f t="shared" si="39"/>
        <v>-0.12890469365457313</v>
      </c>
      <c r="G82" s="5">
        <f t="shared" si="39"/>
        <v>-0.25384359991219141</v>
      </c>
      <c r="H82" s="5">
        <f t="shared" si="39"/>
        <v>-0.31187612208062193</v>
      </c>
      <c r="I82" s="5">
        <f t="shared" si="39"/>
        <v>-0.28902873323276501</v>
      </c>
      <c r="J82" s="5">
        <f t="shared" si="39"/>
        <v>-0.18774739868014356</v>
      </c>
      <c r="K82" s="5">
        <f t="shared" si="39"/>
        <v>-3.0482084246735645E-2</v>
      </c>
      <c r="L82" s="5">
        <f t="shared" si="39"/>
        <v>3.5999373404366049E-2</v>
      </c>
      <c r="M82" s="5">
        <f t="shared" si="39"/>
        <v>0.25847257865802403</v>
      </c>
      <c r="N82" s="101">
        <f t="shared" si="39"/>
        <v>0.31213893492905737</v>
      </c>
    </row>
    <row r="83" spans="2:15">
      <c r="B83" s="25" t="s">
        <v>53</v>
      </c>
      <c r="C83" s="5">
        <f>C82+C62*C47*C43*C53</f>
        <v>0.87211468593451724</v>
      </c>
      <c r="D83" s="5">
        <f t="shared" ref="D83:N83" si="40">D82+D62*D47*D43*D53</f>
        <v>0.79340262738486933</v>
      </c>
      <c r="E83" s="5">
        <f t="shared" si="40"/>
        <v>0.6671044651639273</v>
      </c>
      <c r="F83" s="5">
        <f t="shared" si="40"/>
        <v>0.49173318114106879</v>
      </c>
      <c r="G83" s="5">
        <f t="shared" si="40"/>
        <v>0.34173361327550911</v>
      </c>
      <c r="H83" s="5">
        <f t="shared" si="40"/>
        <v>0.265867119134713</v>
      </c>
      <c r="I83" s="5">
        <f t="shared" si="40"/>
        <v>0.29623853942400524</v>
      </c>
      <c r="J83" s="5">
        <f t="shared" si="40"/>
        <v>0.4232480679702455</v>
      </c>
      <c r="K83" s="5">
        <f t="shared" si="40"/>
        <v>0.59815928408024854</v>
      </c>
      <c r="L83" s="5">
        <f t="shared" si="40"/>
        <v>0.66445476888989885</v>
      </c>
      <c r="M83" s="5">
        <f t="shared" si="40"/>
        <v>0.85277947941639543</v>
      </c>
      <c r="N83" s="101">
        <f t="shared" si="40"/>
        <v>0.88979170652691142</v>
      </c>
    </row>
    <row r="84" spans="2:15">
      <c r="B84" s="25" t="s">
        <v>53</v>
      </c>
      <c r="C84" s="5">
        <f>C83+C62*C46*C42*C53</f>
        <v>0.74102169113038874</v>
      </c>
      <c r="D84" s="5">
        <f t="shared" ref="D84:N84" si="41">D83+D62*D46*D42*D53</f>
        <v>0.65649443681706632</v>
      </c>
      <c r="E84" s="5">
        <f t="shared" si="41"/>
        <v>0.5265995500638172</v>
      </c>
      <c r="F84" s="5">
        <f t="shared" si="41"/>
        <v>0.35295298731409519</v>
      </c>
      <c r="G84" s="5">
        <f t="shared" si="41"/>
        <v>0.2085572080934478</v>
      </c>
      <c r="H84" s="5">
        <f t="shared" si="41"/>
        <v>0.13667854999608467</v>
      </c>
      <c r="I84" s="5">
        <f t="shared" si="41"/>
        <v>0.16536752938995711</v>
      </c>
      <c r="J84" s="5">
        <f t="shared" si="41"/>
        <v>0.28662400306433977</v>
      </c>
      <c r="K84" s="5">
        <f t="shared" si="41"/>
        <v>0.45758943733539859</v>
      </c>
      <c r="L84" s="5">
        <f t="shared" si="41"/>
        <v>0.52392650733994484</v>
      </c>
      <c r="M84" s="5">
        <f t="shared" si="41"/>
        <v>0.71988712748393824</v>
      </c>
      <c r="N84" s="101">
        <f t="shared" si="41"/>
        <v>0.76062336720595836</v>
      </c>
    </row>
    <row r="85" spans="2:15">
      <c r="B85" s="25" t="s">
        <v>53</v>
      </c>
      <c r="C85" s="5">
        <f>ATAN(SQRT(1-C84^2)/C84)/C39</f>
        <v>42.181479150325238</v>
      </c>
      <c r="D85" s="5">
        <f t="shared" ref="D85:N85" si="42">ATAN(SQRT(1-D84^2)/D84)/D39</f>
        <v>48.966936565272853</v>
      </c>
      <c r="E85" s="5">
        <f t="shared" si="42"/>
        <v>58.22401327701656</v>
      </c>
      <c r="F85" s="5">
        <f t="shared" si="42"/>
        <v>69.331960248493587</v>
      </c>
      <c r="G85" s="5">
        <f t="shared" si="42"/>
        <v>77.962185653195547</v>
      </c>
      <c r="H85" s="5">
        <f t="shared" si="42"/>
        <v>82.144306482392295</v>
      </c>
      <c r="I85" s="5">
        <f t="shared" si="42"/>
        <v>80.481414343056713</v>
      </c>
      <c r="J85" s="5">
        <f t="shared" si="42"/>
        <v>73.344052464050009</v>
      </c>
      <c r="K85" s="5">
        <f t="shared" si="42"/>
        <v>62.768332642720672</v>
      </c>
      <c r="L85" s="5">
        <f t="shared" si="42"/>
        <v>58.403995667717027</v>
      </c>
      <c r="M85" s="5">
        <f t="shared" si="42"/>
        <v>43.954837739468964</v>
      </c>
      <c r="N85" s="101">
        <f t="shared" si="42"/>
        <v>40.480816576875341</v>
      </c>
    </row>
    <row r="87" spans="2:15">
      <c r="C87" s="12">
        <f>C73*C79*1.05</f>
        <v>14446.711445969013</v>
      </c>
      <c r="D87" s="12">
        <f t="shared" ref="D87:N87" si="43">D73*D79*1.05</f>
        <v>12581.208949728638</v>
      </c>
      <c r="E87" s="12">
        <f t="shared" si="43"/>
        <v>10095.686767321678</v>
      </c>
      <c r="F87" s="12">
        <f t="shared" si="43"/>
        <v>6366.5854850188553</v>
      </c>
      <c r="G87" s="12">
        <f t="shared" si="43"/>
        <v>4160.6691836099735</v>
      </c>
      <c r="H87" s="12">
        <f t="shared" si="43"/>
        <v>3243.1891347163146</v>
      </c>
      <c r="I87" s="12">
        <f t="shared" si="43"/>
        <v>3793.0729508867807</v>
      </c>
      <c r="J87" s="12">
        <f t="shared" si="43"/>
        <v>5654.7505915833071</v>
      </c>
      <c r="K87" s="12">
        <f t="shared" si="43"/>
        <v>8433.9416104066277</v>
      </c>
      <c r="L87" s="12">
        <f>L73*L79*1.05</f>
        <v>10706.922430092405</v>
      </c>
      <c r="M87" s="12">
        <f t="shared" si="43"/>
        <v>14632.076283798058</v>
      </c>
      <c r="N87" s="12">
        <f t="shared" si="43"/>
        <v>16260.790438584419</v>
      </c>
      <c r="O87" s="12">
        <f>SUM(C87:N87)/86.01</f>
        <v>1283.2880510605285</v>
      </c>
    </row>
    <row r="92" spans="2:15">
      <c r="B92" s="21" t="s">
        <v>19</v>
      </c>
      <c r="C92" s="22">
        <f>PI()/180</f>
        <v>1.7453292519943295E-2</v>
      </c>
      <c r="D92" s="22">
        <f t="shared" ref="D92:N92" si="44">PI()/180</f>
        <v>1.7453292519943295E-2</v>
      </c>
      <c r="E92" s="22">
        <f t="shared" si="44"/>
        <v>1.7453292519943295E-2</v>
      </c>
      <c r="F92" s="22">
        <f t="shared" si="44"/>
        <v>1.7453292519943295E-2</v>
      </c>
      <c r="G92" s="22">
        <f t="shared" si="44"/>
        <v>1.7453292519943295E-2</v>
      </c>
      <c r="H92" s="22">
        <f t="shared" si="44"/>
        <v>1.7453292519943295E-2</v>
      </c>
      <c r="I92" s="22">
        <f t="shared" si="44"/>
        <v>1.7453292519943295E-2</v>
      </c>
      <c r="J92" s="22">
        <f t="shared" si="44"/>
        <v>1.7453292519943295E-2</v>
      </c>
      <c r="K92" s="22">
        <f t="shared" si="44"/>
        <v>1.7453292519943295E-2</v>
      </c>
      <c r="L92" s="22">
        <f t="shared" si="44"/>
        <v>1.7453292519943295E-2</v>
      </c>
      <c r="M92" s="22">
        <f t="shared" si="44"/>
        <v>1.7453292519943295E-2</v>
      </c>
      <c r="N92" s="24">
        <f t="shared" si="44"/>
        <v>1.7453292519943295E-2</v>
      </c>
    </row>
    <row r="93" spans="2:15">
      <c r="B93" s="94" t="s">
        <v>29</v>
      </c>
      <c r="C93" s="5">
        <f>'Ángulo de Inclinación'!$Z$37</f>
        <v>26.47</v>
      </c>
      <c r="D93" s="5">
        <f>'Ángulo de Inclinación'!$Z$37</f>
        <v>26.47</v>
      </c>
      <c r="E93" s="5">
        <f>'Ángulo de Inclinación'!$Z$37</f>
        <v>26.47</v>
      </c>
      <c r="F93" s="5">
        <f>'Ángulo de Inclinación'!$Z$37</f>
        <v>26.47</v>
      </c>
      <c r="G93" s="5">
        <f>'Ángulo de Inclinación'!$Z$37</f>
        <v>26.47</v>
      </c>
      <c r="H93" s="5">
        <f>'Ángulo de Inclinación'!$Z$37</f>
        <v>26.47</v>
      </c>
      <c r="I93" s="5">
        <f>'Ángulo de Inclinación'!$Z$37</f>
        <v>26.47</v>
      </c>
      <c r="J93" s="5">
        <f>'Ángulo de Inclinación'!$Z$37</f>
        <v>26.47</v>
      </c>
      <c r="K93" s="5">
        <f>'Ángulo de Inclinación'!$Z$37</f>
        <v>26.47</v>
      </c>
      <c r="L93" s="5">
        <f>'Ángulo de Inclinación'!$Z$37</f>
        <v>26.47</v>
      </c>
      <c r="M93" s="5">
        <f>'Ángulo de Inclinación'!$Z$37</f>
        <v>26.47</v>
      </c>
      <c r="N93" s="101">
        <f>'Ángulo de Inclinación'!$Z$37</f>
        <v>26.47</v>
      </c>
    </row>
    <row r="94" spans="2:15">
      <c r="B94" s="94" t="s">
        <v>30</v>
      </c>
      <c r="C94" s="5">
        <f t="shared" ref="C94:N94" si="45">C93*C92</f>
        <v>0.46198865300289899</v>
      </c>
      <c r="D94" s="5">
        <f t="shared" si="45"/>
        <v>0.46198865300289899</v>
      </c>
      <c r="E94" s="5">
        <f t="shared" si="45"/>
        <v>0.46198865300289899</v>
      </c>
      <c r="F94" s="5">
        <f t="shared" si="45"/>
        <v>0.46198865300289899</v>
      </c>
      <c r="G94" s="5">
        <f t="shared" si="45"/>
        <v>0.46198865300289899</v>
      </c>
      <c r="H94" s="5">
        <f t="shared" si="45"/>
        <v>0.46198865300289899</v>
      </c>
      <c r="I94" s="5">
        <f t="shared" si="45"/>
        <v>0.46198865300289899</v>
      </c>
      <c r="J94" s="5">
        <f t="shared" si="45"/>
        <v>0.46198865300289899</v>
      </c>
      <c r="K94" s="5">
        <f t="shared" si="45"/>
        <v>0.46198865300289899</v>
      </c>
      <c r="L94" s="5">
        <f t="shared" si="45"/>
        <v>0.46198865300289899</v>
      </c>
      <c r="M94" s="5">
        <f t="shared" si="45"/>
        <v>0.46198865300289899</v>
      </c>
      <c r="N94" s="101">
        <f t="shared" si="45"/>
        <v>0.46198865300289899</v>
      </c>
    </row>
    <row r="95" spans="2:15">
      <c r="B95" s="94" t="s">
        <v>31</v>
      </c>
      <c r="C95" s="5">
        <f t="shared" ref="C95:N95" si="46">SIN(C94)</f>
        <v>0.4457291654314135</v>
      </c>
      <c r="D95" s="5">
        <f t="shared" si="46"/>
        <v>0.4457291654314135</v>
      </c>
      <c r="E95" s="5">
        <f t="shared" si="46"/>
        <v>0.4457291654314135</v>
      </c>
      <c r="F95" s="5">
        <f t="shared" si="46"/>
        <v>0.4457291654314135</v>
      </c>
      <c r="G95" s="5">
        <f t="shared" si="46"/>
        <v>0.4457291654314135</v>
      </c>
      <c r="H95" s="5">
        <f t="shared" si="46"/>
        <v>0.4457291654314135</v>
      </c>
      <c r="I95" s="5">
        <f t="shared" si="46"/>
        <v>0.4457291654314135</v>
      </c>
      <c r="J95" s="5">
        <f t="shared" si="46"/>
        <v>0.4457291654314135</v>
      </c>
      <c r="K95" s="5">
        <f t="shared" si="46"/>
        <v>0.4457291654314135</v>
      </c>
      <c r="L95" s="5">
        <f t="shared" si="46"/>
        <v>0.4457291654314135</v>
      </c>
      <c r="M95" s="5">
        <f t="shared" si="46"/>
        <v>0.4457291654314135</v>
      </c>
      <c r="N95" s="101">
        <f t="shared" si="46"/>
        <v>0.4457291654314135</v>
      </c>
    </row>
    <row r="96" spans="2:15">
      <c r="B96" s="94" t="s">
        <v>32</v>
      </c>
      <c r="C96" s="5">
        <f>COS(C94)</f>
        <v>0.89516786754430344</v>
      </c>
      <c r="D96" s="5">
        <f t="shared" ref="D96:N96" si="47">COS(D94)</f>
        <v>0.89516786754430344</v>
      </c>
      <c r="E96" s="5">
        <f t="shared" si="47"/>
        <v>0.89516786754430344</v>
      </c>
      <c r="F96" s="5">
        <f t="shared" si="47"/>
        <v>0.89516786754430344</v>
      </c>
      <c r="G96" s="5">
        <f t="shared" si="47"/>
        <v>0.89516786754430344</v>
      </c>
      <c r="H96" s="5">
        <f t="shared" si="47"/>
        <v>0.89516786754430344</v>
      </c>
      <c r="I96" s="5">
        <f t="shared" si="47"/>
        <v>0.89516786754430344</v>
      </c>
      <c r="J96" s="5">
        <f t="shared" si="47"/>
        <v>0.89516786754430344</v>
      </c>
      <c r="K96" s="5">
        <f t="shared" si="47"/>
        <v>0.89516786754430344</v>
      </c>
      <c r="L96" s="5">
        <f t="shared" si="47"/>
        <v>0.89516786754430344</v>
      </c>
      <c r="M96" s="5">
        <f t="shared" si="47"/>
        <v>0.89516786754430344</v>
      </c>
      <c r="N96" s="101">
        <f t="shared" si="47"/>
        <v>0.89516786754430344</v>
      </c>
    </row>
    <row r="97" spans="2:14">
      <c r="B97" s="94" t="s">
        <v>33</v>
      </c>
      <c r="C97" s="5">
        <f>'Ángulo de Inclinación'!$S$21</f>
        <v>-33</v>
      </c>
      <c r="D97" s="5">
        <f>C97</f>
        <v>-33</v>
      </c>
      <c r="E97" s="5">
        <f t="shared" ref="E97:N97" si="48">D97</f>
        <v>-33</v>
      </c>
      <c r="F97" s="5">
        <f t="shared" si="48"/>
        <v>-33</v>
      </c>
      <c r="G97" s="5">
        <f t="shared" si="48"/>
        <v>-33</v>
      </c>
      <c r="H97" s="5">
        <f t="shared" si="48"/>
        <v>-33</v>
      </c>
      <c r="I97" s="5">
        <f t="shared" si="48"/>
        <v>-33</v>
      </c>
      <c r="J97" s="5">
        <f t="shared" si="48"/>
        <v>-33</v>
      </c>
      <c r="K97" s="5">
        <f t="shared" si="48"/>
        <v>-33</v>
      </c>
      <c r="L97" s="5">
        <f t="shared" si="48"/>
        <v>-33</v>
      </c>
      <c r="M97" s="5">
        <f t="shared" si="48"/>
        <v>-33</v>
      </c>
      <c r="N97" s="101">
        <f t="shared" si="48"/>
        <v>-33</v>
      </c>
    </row>
    <row r="98" spans="2:14">
      <c r="B98" s="94" t="s">
        <v>34</v>
      </c>
      <c r="C98" s="5">
        <f t="shared" ref="C98:N98" si="49">C97*C92</f>
        <v>-0.57595865315812877</v>
      </c>
      <c r="D98" s="5">
        <f t="shared" si="49"/>
        <v>-0.57595865315812877</v>
      </c>
      <c r="E98" s="5">
        <f t="shared" si="49"/>
        <v>-0.57595865315812877</v>
      </c>
      <c r="F98" s="5">
        <f t="shared" si="49"/>
        <v>-0.57595865315812877</v>
      </c>
      <c r="G98" s="5">
        <f t="shared" si="49"/>
        <v>-0.57595865315812877</v>
      </c>
      <c r="H98" s="5">
        <f t="shared" si="49"/>
        <v>-0.57595865315812877</v>
      </c>
      <c r="I98" s="5">
        <f t="shared" si="49"/>
        <v>-0.57595865315812877</v>
      </c>
      <c r="J98" s="5">
        <f t="shared" si="49"/>
        <v>-0.57595865315812877</v>
      </c>
      <c r="K98" s="5">
        <f t="shared" si="49"/>
        <v>-0.57595865315812877</v>
      </c>
      <c r="L98" s="5">
        <f t="shared" si="49"/>
        <v>-0.57595865315812877</v>
      </c>
      <c r="M98" s="5">
        <f t="shared" si="49"/>
        <v>-0.57595865315812877</v>
      </c>
      <c r="N98" s="101">
        <f t="shared" si="49"/>
        <v>-0.57595865315812877</v>
      </c>
    </row>
    <row r="99" spans="2:14">
      <c r="B99" s="94" t="s">
        <v>20</v>
      </c>
      <c r="C99" s="5">
        <f t="shared" ref="C99:N99" si="50">SIN(C98)</f>
        <v>-0.54463903501502708</v>
      </c>
      <c r="D99" s="5">
        <f t="shared" si="50"/>
        <v>-0.54463903501502708</v>
      </c>
      <c r="E99" s="5">
        <f t="shared" si="50"/>
        <v>-0.54463903501502708</v>
      </c>
      <c r="F99" s="5">
        <f t="shared" si="50"/>
        <v>-0.54463903501502708</v>
      </c>
      <c r="G99" s="5">
        <f t="shared" si="50"/>
        <v>-0.54463903501502708</v>
      </c>
      <c r="H99" s="5">
        <f t="shared" si="50"/>
        <v>-0.54463903501502708</v>
      </c>
      <c r="I99" s="5">
        <f t="shared" si="50"/>
        <v>-0.54463903501502708</v>
      </c>
      <c r="J99" s="5">
        <f t="shared" si="50"/>
        <v>-0.54463903501502708</v>
      </c>
      <c r="K99" s="5">
        <f t="shared" si="50"/>
        <v>-0.54463903501502708</v>
      </c>
      <c r="L99" s="5">
        <f t="shared" si="50"/>
        <v>-0.54463903501502708</v>
      </c>
      <c r="M99" s="5">
        <f t="shared" si="50"/>
        <v>-0.54463903501502708</v>
      </c>
      <c r="N99" s="101">
        <f t="shared" si="50"/>
        <v>-0.54463903501502708</v>
      </c>
    </row>
    <row r="100" spans="2:14">
      <c r="B100" s="94" t="s">
        <v>21</v>
      </c>
      <c r="C100" s="5">
        <f>COS(C98)</f>
        <v>0.83867056794542405</v>
      </c>
      <c r="D100" s="5">
        <f t="shared" ref="D100:N100" si="51">COS(D98)</f>
        <v>0.83867056794542405</v>
      </c>
      <c r="E100" s="5">
        <f t="shared" si="51"/>
        <v>0.83867056794542405</v>
      </c>
      <c r="F100" s="5">
        <f t="shared" si="51"/>
        <v>0.83867056794542405</v>
      </c>
      <c r="G100" s="5">
        <f t="shared" si="51"/>
        <v>0.83867056794542405</v>
      </c>
      <c r="H100" s="5">
        <f t="shared" si="51"/>
        <v>0.83867056794542405</v>
      </c>
      <c r="I100" s="5">
        <f t="shared" si="51"/>
        <v>0.83867056794542405</v>
      </c>
      <c r="J100" s="5">
        <f t="shared" si="51"/>
        <v>0.83867056794542405</v>
      </c>
      <c r="K100" s="5">
        <f t="shared" si="51"/>
        <v>0.83867056794542405</v>
      </c>
      <c r="L100" s="5">
        <f t="shared" si="51"/>
        <v>0.83867056794542405</v>
      </c>
      <c r="M100" s="5">
        <f t="shared" si="51"/>
        <v>0.83867056794542405</v>
      </c>
      <c r="N100" s="101">
        <f t="shared" si="51"/>
        <v>0.83867056794542405</v>
      </c>
    </row>
    <row r="101" spans="2:14">
      <c r="B101" s="94" t="s">
        <v>22</v>
      </c>
      <c r="C101" s="5">
        <f>TAN(C98)</f>
        <v>-0.64940759319751062</v>
      </c>
      <c r="D101" s="5">
        <f t="shared" ref="D101:N101" si="52">TAN(D98)</f>
        <v>-0.64940759319751062</v>
      </c>
      <c r="E101" s="5">
        <f t="shared" si="52"/>
        <v>-0.64940759319751062</v>
      </c>
      <c r="F101" s="5">
        <f t="shared" si="52"/>
        <v>-0.64940759319751062</v>
      </c>
      <c r="G101" s="5">
        <f t="shared" si="52"/>
        <v>-0.64940759319751062</v>
      </c>
      <c r="H101" s="5">
        <f t="shared" si="52"/>
        <v>-0.64940759319751062</v>
      </c>
      <c r="I101" s="5">
        <f t="shared" si="52"/>
        <v>-0.64940759319751062</v>
      </c>
      <c r="J101" s="5">
        <f t="shared" si="52"/>
        <v>-0.64940759319751062</v>
      </c>
      <c r="K101" s="5">
        <f t="shared" si="52"/>
        <v>-0.64940759319751062</v>
      </c>
      <c r="L101" s="5">
        <f t="shared" si="52"/>
        <v>-0.64940759319751062</v>
      </c>
      <c r="M101" s="5">
        <f t="shared" si="52"/>
        <v>-0.64940759319751062</v>
      </c>
      <c r="N101" s="101">
        <f t="shared" si="52"/>
        <v>-0.64940759319751062</v>
      </c>
    </row>
    <row r="102" spans="2:14">
      <c r="B102" s="94" t="s">
        <v>35</v>
      </c>
      <c r="C102" s="5">
        <f>(C97-C93)*C92</f>
        <v>-1.0379473061610278</v>
      </c>
      <c r="D102" s="5">
        <f t="shared" ref="D102:N102" si="53">(D97-D93)*D92</f>
        <v>-1.0379473061610278</v>
      </c>
      <c r="E102" s="5">
        <f t="shared" si="53"/>
        <v>-1.0379473061610278</v>
      </c>
      <c r="F102" s="5">
        <f t="shared" si="53"/>
        <v>-1.0379473061610278</v>
      </c>
      <c r="G102" s="5">
        <f t="shared" si="53"/>
        <v>-1.0379473061610278</v>
      </c>
      <c r="H102" s="5">
        <f t="shared" si="53"/>
        <v>-1.0379473061610278</v>
      </c>
      <c r="I102" s="5">
        <f t="shared" si="53"/>
        <v>-1.0379473061610278</v>
      </c>
      <c r="J102" s="5">
        <f t="shared" si="53"/>
        <v>-1.0379473061610278</v>
      </c>
      <c r="K102" s="5">
        <f t="shared" si="53"/>
        <v>-1.0379473061610278</v>
      </c>
      <c r="L102" s="5">
        <f t="shared" si="53"/>
        <v>-1.0379473061610278</v>
      </c>
      <c r="M102" s="5">
        <f t="shared" si="53"/>
        <v>-1.0379473061610278</v>
      </c>
      <c r="N102" s="101">
        <f t="shared" si="53"/>
        <v>-1.0379473061610278</v>
      </c>
    </row>
    <row r="103" spans="2:14">
      <c r="B103" s="23" t="s">
        <v>23</v>
      </c>
      <c r="C103" s="5">
        <f t="shared" ref="C103:N103" si="54">SIN(C102)</f>
        <v>-0.86136329587799243</v>
      </c>
      <c r="D103" s="5">
        <f t="shared" si="54"/>
        <v>-0.86136329587799243</v>
      </c>
      <c r="E103" s="5">
        <f t="shared" si="54"/>
        <v>-0.86136329587799243</v>
      </c>
      <c r="F103" s="5">
        <f t="shared" si="54"/>
        <v>-0.86136329587799243</v>
      </c>
      <c r="G103" s="5">
        <f t="shared" si="54"/>
        <v>-0.86136329587799243</v>
      </c>
      <c r="H103" s="5">
        <f t="shared" si="54"/>
        <v>-0.86136329587799243</v>
      </c>
      <c r="I103" s="5">
        <f t="shared" si="54"/>
        <v>-0.86136329587799243</v>
      </c>
      <c r="J103" s="5">
        <f t="shared" si="54"/>
        <v>-0.86136329587799243</v>
      </c>
      <c r="K103" s="5">
        <f t="shared" si="54"/>
        <v>-0.86136329587799243</v>
      </c>
      <c r="L103" s="5">
        <f t="shared" si="54"/>
        <v>-0.86136329587799243</v>
      </c>
      <c r="M103" s="5">
        <f t="shared" si="54"/>
        <v>-0.86136329587799243</v>
      </c>
      <c r="N103" s="101">
        <f t="shared" si="54"/>
        <v>-0.86136329587799243</v>
      </c>
    </row>
    <row r="104" spans="2:14">
      <c r="B104" s="23" t="s">
        <v>24</v>
      </c>
      <c r="C104" s="5">
        <f>COS(C102)</f>
        <v>0.50798944134125668</v>
      </c>
      <c r="D104" s="5">
        <f t="shared" ref="D104:N104" si="55">COS(D102)</f>
        <v>0.50798944134125668</v>
      </c>
      <c r="E104" s="5">
        <f t="shared" si="55"/>
        <v>0.50798944134125668</v>
      </c>
      <c r="F104" s="5">
        <f t="shared" si="55"/>
        <v>0.50798944134125668</v>
      </c>
      <c r="G104" s="5">
        <f t="shared" si="55"/>
        <v>0.50798944134125668</v>
      </c>
      <c r="H104" s="5">
        <f t="shared" si="55"/>
        <v>0.50798944134125668</v>
      </c>
      <c r="I104" s="5">
        <f t="shared" si="55"/>
        <v>0.50798944134125668</v>
      </c>
      <c r="J104" s="5">
        <f t="shared" si="55"/>
        <v>0.50798944134125668</v>
      </c>
      <c r="K104" s="5">
        <f t="shared" si="55"/>
        <v>0.50798944134125668</v>
      </c>
      <c r="L104" s="5">
        <f t="shared" si="55"/>
        <v>0.50798944134125668</v>
      </c>
      <c r="M104" s="5">
        <f t="shared" si="55"/>
        <v>0.50798944134125668</v>
      </c>
      <c r="N104" s="101">
        <f t="shared" si="55"/>
        <v>0.50798944134125668</v>
      </c>
    </row>
    <row r="105" spans="2:14">
      <c r="B105" s="23" t="s">
        <v>25</v>
      </c>
      <c r="C105" s="5">
        <f>TAN(C102)</f>
        <v>-1.6956322824421595</v>
      </c>
      <c r="D105" s="5">
        <f t="shared" ref="D105:N105" si="56">TAN(D102)</f>
        <v>-1.6956322824421595</v>
      </c>
      <c r="E105" s="5">
        <f t="shared" si="56"/>
        <v>-1.6956322824421595</v>
      </c>
      <c r="F105" s="5">
        <f t="shared" si="56"/>
        <v>-1.6956322824421595</v>
      </c>
      <c r="G105" s="5">
        <f t="shared" si="56"/>
        <v>-1.6956322824421595</v>
      </c>
      <c r="H105" s="5">
        <f t="shared" si="56"/>
        <v>-1.6956322824421595</v>
      </c>
      <c r="I105" s="5">
        <f t="shared" si="56"/>
        <v>-1.6956322824421595</v>
      </c>
      <c r="J105" s="5">
        <f t="shared" si="56"/>
        <v>-1.6956322824421595</v>
      </c>
      <c r="K105" s="5">
        <f t="shared" si="56"/>
        <v>-1.6956322824421595</v>
      </c>
      <c r="L105" s="5">
        <f t="shared" si="56"/>
        <v>-1.6956322824421595</v>
      </c>
      <c r="M105" s="5">
        <f t="shared" si="56"/>
        <v>-1.6956322824421595</v>
      </c>
      <c r="N105" s="101">
        <f t="shared" si="56"/>
        <v>-1.6956322824421595</v>
      </c>
    </row>
    <row r="106" spans="2:14">
      <c r="B106" s="95" t="s">
        <v>36</v>
      </c>
      <c r="C106" s="5">
        <f>COS(37.5*C92)</f>
        <v>0.79335334029123517</v>
      </c>
      <c r="D106" s="5">
        <f t="shared" ref="D106:N106" si="57">COS(37.5*D92)</f>
        <v>0.79335334029123517</v>
      </c>
      <c r="E106" s="5">
        <f t="shared" si="57"/>
        <v>0.79335334029123517</v>
      </c>
      <c r="F106" s="5">
        <f t="shared" si="57"/>
        <v>0.79335334029123517</v>
      </c>
      <c r="G106" s="5">
        <f t="shared" si="57"/>
        <v>0.79335334029123517</v>
      </c>
      <c r="H106" s="5">
        <f t="shared" si="57"/>
        <v>0.79335334029123517</v>
      </c>
      <c r="I106" s="5">
        <f t="shared" si="57"/>
        <v>0.79335334029123517</v>
      </c>
      <c r="J106" s="5">
        <f t="shared" si="57"/>
        <v>0.79335334029123517</v>
      </c>
      <c r="K106" s="5">
        <f t="shared" si="57"/>
        <v>0.79335334029123517</v>
      </c>
      <c r="L106" s="5">
        <f t="shared" si="57"/>
        <v>0.79335334029123517</v>
      </c>
      <c r="M106" s="5">
        <f t="shared" si="57"/>
        <v>0.79335334029123517</v>
      </c>
      <c r="N106" s="101">
        <f t="shared" si="57"/>
        <v>0.79335334029123517</v>
      </c>
    </row>
    <row r="107" spans="2:14">
      <c r="B107" s="95" t="s">
        <v>37</v>
      </c>
      <c r="C107" s="5">
        <f>23.45*C92</f>
        <v>0.40927970959267029</v>
      </c>
      <c r="D107" s="5">
        <f t="shared" ref="D107:N107" si="58">23.45*D92</f>
        <v>0.40927970959267029</v>
      </c>
      <c r="E107" s="5">
        <f t="shared" si="58"/>
        <v>0.40927970959267029</v>
      </c>
      <c r="F107" s="5">
        <f t="shared" si="58"/>
        <v>0.40927970959267029</v>
      </c>
      <c r="G107" s="5">
        <f t="shared" si="58"/>
        <v>0.40927970959267029</v>
      </c>
      <c r="H107" s="5">
        <f t="shared" si="58"/>
        <v>0.40927970959267029</v>
      </c>
      <c r="I107" s="5">
        <f t="shared" si="58"/>
        <v>0.40927970959267029</v>
      </c>
      <c r="J107" s="5">
        <f t="shared" si="58"/>
        <v>0.40927970959267029</v>
      </c>
      <c r="K107" s="5">
        <f t="shared" si="58"/>
        <v>0.40927970959267029</v>
      </c>
      <c r="L107" s="5">
        <f t="shared" si="58"/>
        <v>0.40927970959267029</v>
      </c>
      <c r="M107" s="5">
        <f t="shared" si="58"/>
        <v>0.40927970959267029</v>
      </c>
      <c r="N107" s="101">
        <f t="shared" si="58"/>
        <v>0.40927970959267029</v>
      </c>
    </row>
    <row r="108" spans="2:14">
      <c r="B108" s="8" t="s">
        <v>14</v>
      </c>
      <c r="C108" s="1">
        <v>31</v>
      </c>
      <c r="D108" s="1">
        <v>28</v>
      </c>
      <c r="E108" s="1">
        <v>31</v>
      </c>
      <c r="F108" s="1">
        <v>30</v>
      </c>
      <c r="G108" s="1">
        <v>31</v>
      </c>
      <c r="H108" s="1">
        <v>30</v>
      </c>
      <c r="I108" s="1">
        <v>31</v>
      </c>
      <c r="J108" s="1">
        <v>31</v>
      </c>
      <c r="K108" s="1">
        <v>30</v>
      </c>
      <c r="L108" s="1">
        <v>31</v>
      </c>
      <c r="M108" s="1">
        <v>30</v>
      </c>
      <c r="N108" s="2">
        <v>31</v>
      </c>
    </row>
    <row r="109" spans="2:14">
      <c r="B109" s="95" t="s">
        <v>26</v>
      </c>
      <c r="C109" s="5">
        <f>1353*3.6</f>
        <v>4870.8</v>
      </c>
      <c r="D109" s="5">
        <f t="shared" ref="D109:N109" si="59">1353*3.6</f>
        <v>4870.8</v>
      </c>
      <c r="E109" s="5">
        <f t="shared" si="59"/>
        <v>4870.8</v>
      </c>
      <c r="F109" s="5">
        <f t="shared" si="59"/>
        <v>4870.8</v>
      </c>
      <c r="G109" s="5">
        <f t="shared" si="59"/>
        <v>4870.8</v>
      </c>
      <c r="H109" s="5">
        <f t="shared" si="59"/>
        <v>4870.8</v>
      </c>
      <c r="I109" s="5">
        <f t="shared" si="59"/>
        <v>4870.8</v>
      </c>
      <c r="J109" s="5">
        <f t="shared" si="59"/>
        <v>4870.8</v>
      </c>
      <c r="K109" s="5">
        <f t="shared" si="59"/>
        <v>4870.8</v>
      </c>
      <c r="L109" s="5">
        <f t="shared" si="59"/>
        <v>4870.8</v>
      </c>
      <c r="M109" s="5">
        <f t="shared" si="59"/>
        <v>4870.8</v>
      </c>
      <c r="N109" s="101">
        <f t="shared" si="59"/>
        <v>4870.8</v>
      </c>
    </row>
    <row r="110" spans="2:14">
      <c r="B110" s="23" t="s">
        <v>27</v>
      </c>
      <c r="C110" s="5">
        <f t="shared" ref="C110:N110" si="60">(24*C109)/PI()</f>
        <v>37210.171046976189</v>
      </c>
      <c r="D110" s="5">
        <f t="shared" si="60"/>
        <v>37210.171046976189</v>
      </c>
      <c r="E110" s="5">
        <f t="shared" si="60"/>
        <v>37210.171046976189</v>
      </c>
      <c r="F110" s="5">
        <f t="shared" si="60"/>
        <v>37210.171046976189</v>
      </c>
      <c r="G110" s="5">
        <f t="shared" si="60"/>
        <v>37210.171046976189</v>
      </c>
      <c r="H110" s="5">
        <f t="shared" si="60"/>
        <v>37210.171046976189</v>
      </c>
      <c r="I110" s="5">
        <f t="shared" si="60"/>
        <v>37210.171046976189</v>
      </c>
      <c r="J110" s="5">
        <f t="shared" si="60"/>
        <v>37210.171046976189</v>
      </c>
      <c r="K110" s="5">
        <f t="shared" si="60"/>
        <v>37210.171046976189</v>
      </c>
      <c r="L110" s="5">
        <f t="shared" si="60"/>
        <v>37210.171046976189</v>
      </c>
      <c r="M110" s="5">
        <f t="shared" si="60"/>
        <v>37210.171046976189</v>
      </c>
      <c r="N110" s="102">
        <f t="shared" si="60"/>
        <v>37210.171046976189</v>
      </c>
    </row>
    <row r="111" spans="2:14">
      <c r="B111" s="21" t="s">
        <v>14</v>
      </c>
      <c r="C111" s="22">
        <v>15</v>
      </c>
      <c r="D111" s="22">
        <v>46</v>
      </c>
      <c r="E111" s="22">
        <v>74</v>
      </c>
      <c r="F111" s="22">
        <v>105</v>
      </c>
      <c r="G111" s="22">
        <v>135</v>
      </c>
      <c r="H111" s="22">
        <v>166</v>
      </c>
      <c r="I111" s="22">
        <v>196</v>
      </c>
      <c r="J111" s="22">
        <v>227</v>
      </c>
      <c r="K111" s="22">
        <v>258</v>
      </c>
      <c r="L111" s="22">
        <v>270</v>
      </c>
      <c r="M111" s="22">
        <v>319</v>
      </c>
      <c r="N111" s="24">
        <v>349</v>
      </c>
    </row>
    <row r="112" spans="2:14">
      <c r="B112" s="95" t="s">
        <v>38</v>
      </c>
      <c r="C112" s="5">
        <f>(360*C92)/365</f>
        <v>1.7214206321039961E-2</v>
      </c>
      <c r="D112" s="5">
        <f t="shared" ref="D112:N112" si="61">(360*D92)/365</f>
        <v>1.7214206321039961E-2</v>
      </c>
      <c r="E112" s="5">
        <f t="shared" si="61"/>
        <v>1.7214206321039961E-2</v>
      </c>
      <c r="F112" s="5">
        <f t="shared" si="61"/>
        <v>1.7214206321039961E-2</v>
      </c>
      <c r="G112" s="5">
        <f t="shared" si="61"/>
        <v>1.7214206321039961E-2</v>
      </c>
      <c r="H112" s="5">
        <f t="shared" si="61"/>
        <v>1.7214206321039961E-2</v>
      </c>
      <c r="I112" s="5">
        <f t="shared" si="61"/>
        <v>1.7214206321039961E-2</v>
      </c>
      <c r="J112" s="5">
        <f t="shared" si="61"/>
        <v>1.7214206321039961E-2</v>
      </c>
      <c r="K112" s="5">
        <f t="shared" si="61"/>
        <v>1.7214206321039961E-2</v>
      </c>
      <c r="L112" s="5">
        <f t="shared" si="61"/>
        <v>1.7214206321039961E-2</v>
      </c>
      <c r="M112" s="5">
        <f t="shared" si="61"/>
        <v>1.7214206321039961E-2</v>
      </c>
      <c r="N112" s="101">
        <f t="shared" si="61"/>
        <v>1.7214206321039961E-2</v>
      </c>
    </row>
    <row r="113" spans="2:14">
      <c r="B113" s="95" t="s">
        <v>39</v>
      </c>
      <c r="C113" s="5">
        <f t="shared" ref="C113:N113" si="62">C107*SIN(C112*(284+C111))</f>
        <v>-0.37122234990040354</v>
      </c>
      <c r="D113" s="5">
        <f t="shared" si="62"/>
        <v>-0.23193953024048489</v>
      </c>
      <c r="E113" s="5">
        <f t="shared" si="62"/>
        <v>-4.9198713707110125E-2</v>
      </c>
      <c r="F113" s="5">
        <f t="shared" si="62"/>
        <v>0.16432088762716554</v>
      </c>
      <c r="G113" s="5">
        <f t="shared" si="62"/>
        <v>0.32798083344699769</v>
      </c>
      <c r="H113" s="5">
        <f t="shared" si="62"/>
        <v>0.40691321620538912</v>
      </c>
      <c r="I113" s="5">
        <f t="shared" si="62"/>
        <v>0.37554836000057829</v>
      </c>
      <c r="J113" s="5">
        <f t="shared" si="62"/>
        <v>0.24056857736111795</v>
      </c>
      <c r="K113" s="5">
        <f t="shared" si="62"/>
        <v>3.8691973511018649E-2</v>
      </c>
      <c r="L113" s="5">
        <f t="shared" si="62"/>
        <v>-4.5699766008172903E-2</v>
      </c>
      <c r="M113" s="5">
        <f t="shared" si="62"/>
        <v>-0.33419245656714902</v>
      </c>
      <c r="N113" s="101">
        <f t="shared" si="62"/>
        <v>-0.40727641274141724</v>
      </c>
    </row>
    <row r="114" spans="2:14">
      <c r="B114" s="23" t="s">
        <v>41</v>
      </c>
      <c r="C114" s="5">
        <f t="shared" ref="C114:N114" si="63">SIN(C113)</f>
        <v>-0.36275479176733588</v>
      </c>
      <c r="D114" s="5">
        <f t="shared" si="63"/>
        <v>-0.22986554896822295</v>
      </c>
      <c r="E114" s="5">
        <f t="shared" si="63"/>
        <v>-4.9178868417837161E-2</v>
      </c>
      <c r="F114" s="5">
        <f t="shared" si="63"/>
        <v>0.16358240425600395</v>
      </c>
      <c r="G114" s="5">
        <f t="shared" si="63"/>
        <v>0.32213215206816698</v>
      </c>
      <c r="H114" s="5">
        <f t="shared" si="63"/>
        <v>0.39577647976650848</v>
      </c>
      <c r="I114" s="5">
        <f t="shared" si="63"/>
        <v>0.36678272715173194</v>
      </c>
      <c r="J114" s="5">
        <f t="shared" si="63"/>
        <v>0.23825486875759558</v>
      </c>
      <c r="K114" s="5">
        <f t="shared" si="63"/>
        <v>3.868232014248444E-2</v>
      </c>
      <c r="L114" s="5">
        <f t="shared" si="63"/>
        <v>-4.5683860581339865E-2</v>
      </c>
      <c r="M114" s="5">
        <f t="shared" si="63"/>
        <v>-0.32800641041381234</v>
      </c>
      <c r="N114" s="101">
        <f t="shared" si="63"/>
        <v>-0.3961099940583282</v>
      </c>
    </row>
    <row r="115" spans="2:14">
      <c r="B115" s="23" t="s">
        <v>42</v>
      </c>
      <c r="C115" s="5">
        <f>COS(C113)</f>
        <v>0.93188462861549382</v>
      </c>
      <c r="D115" s="5">
        <f t="shared" ref="D115:N115" si="64">COS(D113)</f>
        <v>0.97322239462393045</v>
      </c>
      <c r="E115" s="5">
        <f t="shared" si="64"/>
        <v>0.99878998738530667</v>
      </c>
      <c r="F115" s="5">
        <f t="shared" si="64"/>
        <v>0.9865296736631014</v>
      </c>
      <c r="G115" s="5">
        <f t="shared" si="64"/>
        <v>0.94669471140591643</v>
      </c>
      <c r="H115" s="5">
        <f t="shared" si="64"/>
        <v>0.91834687240912982</v>
      </c>
      <c r="I115" s="5">
        <f t="shared" si="64"/>
        <v>0.93030663281691062</v>
      </c>
      <c r="J115" s="5">
        <f t="shared" si="64"/>
        <v>0.97120266552007617</v>
      </c>
      <c r="K115" s="5">
        <f t="shared" si="64"/>
        <v>0.99925155897221118</v>
      </c>
      <c r="L115" s="5">
        <f t="shared" si="64"/>
        <v>0.99895594741829563</v>
      </c>
      <c r="M115" s="5">
        <f t="shared" si="64"/>
        <v>0.94467549705041343</v>
      </c>
      <c r="N115" s="101">
        <f t="shared" si="64"/>
        <v>0.91820306719543865</v>
      </c>
    </row>
    <row r="116" spans="2:14">
      <c r="B116" s="95" t="s">
        <v>43</v>
      </c>
      <c r="C116" s="5">
        <f>-C101*TAN(C113)</f>
        <v>-0.25279493727939895</v>
      </c>
      <c r="D116" s="5">
        <f t="shared" ref="D116:N116" si="65">-D101*TAN(D113)</f>
        <v>-0.15338368058429347</v>
      </c>
      <c r="E116" s="5">
        <f t="shared" si="65"/>
        <v>-3.1975821723054777E-2</v>
      </c>
      <c r="F116" s="5">
        <f t="shared" si="65"/>
        <v>0.10768216939983473</v>
      </c>
      <c r="G116" s="5">
        <f t="shared" si="65"/>
        <v>0.22097415676427687</v>
      </c>
      <c r="H116" s="5">
        <f t="shared" si="65"/>
        <v>0.27987273533703205</v>
      </c>
      <c r="I116" s="5">
        <f t="shared" si="65"/>
        <v>0.25603546149595474</v>
      </c>
      <c r="J116" s="5">
        <f t="shared" si="65"/>
        <v>0.15931229019496604</v>
      </c>
      <c r="K116" s="5">
        <f t="shared" si="65"/>
        <v>2.5139407787228688E-2</v>
      </c>
      <c r="L116" s="5">
        <f t="shared" si="65"/>
        <v>-2.9698452694306664E-2</v>
      </c>
      <c r="M116" s="5">
        <f t="shared" si="65"/>
        <v>-0.2254846814649849</v>
      </c>
      <c r="N116" s="101">
        <f t="shared" si="65"/>
        <v>-0.2801524489224414</v>
      </c>
    </row>
    <row r="117" spans="2:14">
      <c r="B117" s="95" t="s">
        <v>43</v>
      </c>
      <c r="C117" s="5">
        <f t="shared" ref="C117:N117" si="66">ATAN(SQRT(1-C116^2)/C116)/C92</f>
        <v>-75.357035975139581</v>
      </c>
      <c r="D117" s="5">
        <f t="shared" si="66"/>
        <v>-81.176932953233873</v>
      </c>
      <c r="E117" s="5">
        <f t="shared" si="66"/>
        <v>-88.167608022467178</v>
      </c>
      <c r="F117" s="5">
        <f t="shared" si="66"/>
        <v>83.818280042663901</v>
      </c>
      <c r="G117" s="5">
        <f t="shared" si="66"/>
        <v>77.233743659218291</v>
      </c>
      <c r="H117" s="5">
        <f t="shared" si="66"/>
        <v>73.747390694945281</v>
      </c>
      <c r="I117" s="5">
        <f t="shared" si="66"/>
        <v>75.165050235055276</v>
      </c>
      <c r="J117" s="5">
        <f t="shared" si="66"/>
        <v>80.833018649384044</v>
      </c>
      <c r="K117" s="5">
        <f t="shared" si="66"/>
        <v>88.559466273378604</v>
      </c>
      <c r="L117" s="5">
        <f t="shared" si="66"/>
        <v>-88.298153769146509</v>
      </c>
      <c r="M117" s="5">
        <f t="shared" si="66"/>
        <v>-76.968619195469273</v>
      </c>
      <c r="N117" s="101">
        <f t="shared" si="66"/>
        <v>-73.730696456088936</v>
      </c>
    </row>
    <row r="118" spans="2:14">
      <c r="B118" s="95" t="s">
        <v>43</v>
      </c>
      <c r="C118" s="5">
        <f t="shared" ref="C118:N118" si="67">IF(C117&lt;0,C117+180,C117)</f>
        <v>104.64296402486042</v>
      </c>
      <c r="D118" s="5">
        <f t="shared" si="67"/>
        <v>98.823067046766127</v>
      </c>
      <c r="E118" s="5">
        <f t="shared" si="67"/>
        <v>91.832391977532822</v>
      </c>
      <c r="F118" s="5">
        <f t="shared" si="67"/>
        <v>83.818280042663901</v>
      </c>
      <c r="G118" s="5">
        <f t="shared" si="67"/>
        <v>77.233743659218291</v>
      </c>
      <c r="H118" s="5">
        <f t="shared" si="67"/>
        <v>73.747390694945281</v>
      </c>
      <c r="I118" s="5">
        <f t="shared" si="67"/>
        <v>75.165050235055276</v>
      </c>
      <c r="J118" s="5">
        <f t="shared" si="67"/>
        <v>80.833018649384044</v>
      </c>
      <c r="K118" s="5">
        <f t="shared" si="67"/>
        <v>88.559466273378604</v>
      </c>
      <c r="L118" s="5">
        <f t="shared" si="67"/>
        <v>91.701846230853491</v>
      </c>
      <c r="M118" s="5">
        <f t="shared" si="67"/>
        <v>103.03138080453073</v>
      </c>
      <c r="N118" s="101">
        <f t="shared" si="67"/>
        <v>106.26930354391106</v>
      </c>
    </row>
    <row r="119" spans="2:14">
      <c r="B119" s="95" t="s">
        <v>51</v>
      </c>
      <c r="C119" s="5">
        <f t="shared" ref="C119:N119" si="68">C118*C92</f>
        <v>1.8263642612797917</v>
      </c>
      <c r="D119" s="5">
        <f t="shared" si="68"/>
        <v>1.724787896885178</v>
      </c>
      <c r="E119" s="5">
        <f t="shared" si="68"/>
        <v>1.6027775999899743</v>
      </c>
      <c r="F119" s="5">
        <f t="shared" si="68"/>
        <v>1.4629049601031383</v>
      </c>
      <c r="G119" s="5">
        <f t="shared" si="68"/>
        <v>1.3479831204946526</v>
      </c>
      <c r="H119" s="5">
        <f t="shared" si="68"/>
        <v>1.2871347823814243</v>
      </c>
      <c r="I119" s="5">
        <f t="shared" si="68"/>
        <v>1.3118776090286524</v>
      </c>
      <c r="J119" s="5">
        <f t="shared" si="68"/>
        <v>1.4108023197577315</v>
      </c>
      <c r="K119" s="5">
        <f t="shared" si="68"/>
        <v>1.5456542702793294</v>
      </c>
      <c r="L119" s="5">
        <f t="shared" si="68"/>
        <v>1.6004991468859455</v>
      </c>
      <c r="M119" s="5">
        <f t="shared" si="68"/>
        <v>1.7982368279151453</v>
      </c>
      <c r="N119" s="101">
        <f t="shared" si="68"/>
        <v>1.8547492406425266</v>
      </c>
    </row>
    <row r="120" spans="2:14">
      <c r="B120" s="23" t="s">
        <v>44</v>
      </c>
      <c r="C120" s="5">
        <f>-C105*TAN(C113)</f>
        <v>-0.66005889210248447</v>
      </c>
      <c r="D120" s="5">
        <f t="shared" ref="D120:N120" si="69">-D105*TAN(D113)</f>
        <v>-0.40049165288928695</v>
      </c>
      <c r="E120" s="5">
        <f t="shared" si="69"/>
        <v>-8.349030122094174E-2</v>
      </c>
      <c r="F120" s="5">
        <f t="shared" si="69"/>
        <v>0.28116296235272437</v>
      </c>
      <c r="G120" s="5">
        <f t="shared" si="69"/>
        <v>0.57697341041250183</v>
      </c>
      <c r="H120" s="5">
        <f t="shared" si="69"/>
        <v>0.73076023437953419</v>
      </c>
      <c r="I120" s="5">
        <f t="shared" si="69"/>
        <v>0.66852004582348268</v>
      </c>
      <c r="J120" s="5">
        <f t="shared" si="69"/>
        <v>0.41597151784798908</v>
      </c>
      <c r="K120" s="5">
        <f t="shared" si="69"/>
        <v>6.564011855115183E-2</v>
      </c>
      <c r="L120" s="5">
        <f t="shared" si="69"/>
        <v>-7.7543988789998561E-2</v>
      </c>
      <c r="M120" s="5">
        <f t="shared" si="69"/>
        <v>-0.58875059222156512</v>
      </c>
      <c r="N120" s="101">
        <f t="shared" si="69"/>
        <v>-0.73149057906633175</v>
      </c>
    </row>
    <row r="121" spans="2:14">
      <c r="B121" s="23" t="s">
        <v>44</v>
      </c>
      <c r="C121" s="5">
        <f t="shared" ref="C121:N121" si="70">ATAN(SQRT(1-C120^2)/C120)/C92</f>
        <v>-48.695635607554891</v>
      </c>
      <c r="D121" s="5">
        <f t="shared" si="70"/>
        <v>-66.391082329382797</v>
      </c>
      <c r="E121" s="5">
        <f t="shared" si="70"/>
        <v>-85.210783104483895</v>
      </c>
      <c r="F121" s="5">
        <f t="shared" si="70"/>
        <v>73.670373805516775</v>
      </c>
      <c r="G121" s="5">
        <f t="shared" si="70"/>
        <v>54.762051206614331</v>
      </c>
      <c r="H121" s="5">
        <f t="shared" si="70"/>
        <v>43.049834902721138</v>
      </c>
      <c r="I121" s="5">
        <f t="shared" si="70"/>
        <v>48.047056259708206</v>
      </c>
      <c r="J121" s="5">
        <f t="shared" si="70"/>
        <v>65.419487500694984</v>
      </c>
      <c r="K121" s="5">
        <f t="shared" si="70"/>
        <v>86.23639227111083</v>
      </c>
      <c r="L121" s="5">
        <f t="shared" si="70"/>
        <v>-85.552592002513919</v>
      </c>
      <c r="M121" s="5">
        <f t="shared" si="70"/>
        <v>-53.931603522593392</v>
      </c>
      <c r="N121" s="101">
        <f t="shared" si="70"/>
        <v>-42.988499467627001</v>
      </c>
    </row>
    <row r="122" spans="2:14">
      <c r="B122" s="23" t="s">
        <v>44</v>
      </c>
      <c r="C122" s="5">
        <f t="shared" ref="C122:N122" si="71">IF(C121&lt;0,C121+180,C121)</f>
        <v>131.30436439244511</v>
      </c>
      <c r="D122" s="5">
        <f t="shared" si="71"/>
        <v>113.6089176706172</v>
      </c>
      <c r="E122" s="5">
        <f t="shared" si="71"/>
        <v>94.789216895516105</v>
      </c>
      <c r="F122" s="5">
        <f t="shared" si="71"/>
        <v>73.670373805516775</v>
      </c>
      <c r="G122" s="5">
        <f t="shared" si="71"/>
        <v>54.762051206614331</v>
      </c>
      <c r="H122" s="5">
        <f t="shared" si="71"/>
        <v>43.049834902721138</v>
      </c>
      <c r="I122" s="5">
        <f t="shared" si="71"/>
        <v>48.047056259708206</v>
      </c>
      <c r="J122" s="5">
        <f t="shared" si="71"/>
        <v>65.419487500694984</v>
      </c>
      <c r="K122" s="5">
        <f t="shared" si="71"/>
        <v>86.23639227111083</v>
      </c>
      <c r="L122" s="5">
        <f t="shared" si="71"/>
        <v>94.447407997486081</v>
      </c>
      <c r="M122" s="5">
        <f t="shared" si="71"/>
        <v>126.06839647740661</v>
      </c>
      <c r="N122" s="101">
        <f t="shared" si="71"/>
        <v>137.01150053237299</v>
      </c>
    </row>
    <row r="123" spans="2:14">
      <c r="B123" s="23" t="s">
        <v>45</v>
      </c>
      <c r="C123" s="5">
        <f t="shared" ref="C123:N123" si="72">C122*C92</f>
        <v>2.291693480886571</v>
      </c>
      <c r="D123" s="5">
        <f t="shared" si="72"/>
        <v>1.9828496729794369</v>
      </c>
      <c r="E123" s="5">
        <f t="shared" si="72"/>
        <v>1.6543839302137939</v>
      </c>
      <c r="F123" s="5">
        <f t="shared" si="72"/>
        <v>1.2857905840812525</v>
      </c>
      <c r="G123" s="5">
        <f t="shared" si="72"/>
        <v>0.9557780987011536</v>
      </c>
      <c r="H123" s="5">
        <f t="shared" si="72"/>
        <v>0.75136136149245669</v>
      </c>
      <c r="I123" s="5">
        <f t="shared" si="72"/>
        <v>0.83857932762285992</v>
      </c>
      <c r="J123" s="5">
        <f t="shared" si="72"/>
        <v>1.1417854518544037</v>
      </c>
      <c r="K123" s="5">
        <f t="shared" si="72"/>
        <v>1.5051089801722746</v>
      </c>
      <c r="L123" s="5">
        <f t="shared" si="72"/>
        <v>1.6484182395305564</v>
      </c>
      <c r="M123" s="5">
        <f t="shared" si="72"/>
        <v>2.2003086012403665</v>
      </c>
      <c r="N123" s="101">
        <f t="shared" si="72"/>
        <v>2.3913017973878725</v>
      </c>
    </row>
    <row r="124" spans="2:14">
      <c r="B124" s="95" t="s">
        <v>46</v>
      </c>
      <c r="C124" s="5">
        <f>C119*C99*C114+C100*C115*SIN(C119)</f>
        <v>1.1169951152829716</v>
      </c>
      <c r="D124" s="5">
        <f t="shared" ref="D124:N124" si="73">D119*D99*D114+D100*D115*SIN(D119)</f>
        <v>1.0224871595686147</v>
      </c>
      <c r="E124" s="5">
        <f t="shared" si="73"/>
        <v>0.88015739213312139</v>
      </c>
      <c r="F124" s="5">
        <f t="shared" si="73"/>
        <v>0.69222740934784766</v>
      </c>
      <c r="G124" s="5">
        <f t="shared" si="73"/>
        <v>0.53784000745338212</v>
      </c>
      <c r="H124" s="5">
        <f t="shared" si="73"/>
        <v>0.4619627049485312</v>
      </c>
      <c r="I124" s="5">
        <f t="shared" si="73"/>
        <v>0.49214782785352545</v>
      </c>
      <c r="J124" s="5">
        <f t="shared" si="73"/>
        <v>0.6210464443360949</v>
      </c>
      <c r="K124" s="5">
        <f t="shared" si="73"/>
        <v>0.8052143214044124</v>
      </c>
      <c r="L124" s="5">
        <f t="shared" si="73"/>
        <v>0.87724776486471778</v>
      </c>
      <c r="M124" s="5">
        <f t="shared" si="73"/>
        <v>1.0931141283331729</v>
      </c>
      <c r="N124" s="101">
        <f t="shared" si="73"/>
        <v>1.1393708135012601</v>
      </c>
    </row>
    <row r="125" spans="2:14">
      <c r="B125" s="95" t="s">
        <v>46</v>
      </c>
      <c r="C125" s="5">
        <f t="shared" ref="C125:N125" si="74">C110*(1+0.033*COS(C112*C111))*C124</f>
        <v>42889.705938732419</v>
      </c>
      <c r="D125" s="5">
        <f t="shared" si="74"/>
        <v>38928.979367638691</v>
      </c>
      <c r="E125" s="5">
        <f t="shared" si="74"/>
        <v>33067.042715566859</v>
      </c>
      <c r="F125" s="5">
        <f t="shared" si="74"/>
        <v>25558.580112683896</v>
      </c>
      <c r="G125" s="5">
        <f t="shared" si="74"/>
        <v>19561.435775166199</v>
      </c>
      <c r="H125" s="5">
        <f t="shared" si="74"/>
        <v>16645.179397969245</v>
      </c>
      <c r="I125" s="5">
        <f t="shared" si="74"/>
        <v>17724.824278593533</v>
      </c>
      <c r="J125" s="5">
        <f t="shared" si="74"/>
        <v>22559.660002769513</v>
      </c>
      <c r="K125" s="5">
        <f t="shared" si="74"/>
        <v>29697.36086866746</v>
      </c>
      <c r="L125" s="5">
        <f t="shared" si="74"/>
        <v>32573.050634341915</v>
      </c>
      <c r="M125" s="5">
        <f t="shared" si="74"/>
        <v>41617.947912724703</v>
      </c>
      <c r="N125" s="101">
        <f t="shared" si="74"/>
        <v>43742.524499511528</v>
      </c>
    </row>
    <row r="126" spans="2:14">
      <c r="B126" s="95" t="s">
        <v>52</v>
      </c>
      <c r="C126" s="5">
        <f>VLOOKUP('Ángulo de Inclinación'!$P$24,$A$3:$O$35,3,FALSE)*86.01</f>
        <v>15739.830000000002</v>
      </c>
      <c r="D126" s="5">
        <f>VLOOKUP('Ángulo de Inclinación'!$P$24,$A$3:$O$35,4,FALSE)*86.01</f>
        <v>13417.560000000001</v>
      </c>
      <c r="E126" s="5">
        <f>VLOOKUP('Ángulo de Inclinación'!$P$24,$A$3:$O$35,5,FALSE)*86.01</f>
        <v>10837.26</v>
      </c>
      <c r="F126" s="5">
        <f>VLOOKUP('Ángulo de Inclinación'!$P$24,$A$3:$O$35,6,FALSE)*86.01</f>
        <v>7224.84</v>
      </c>
      <c r="G126" s="5">
        <f>VLOOKUP('Ángulo de Inclinación'!$P$24,$A$3:$O$35,7,FALSE)*86.01</f>
        <v>4902.5700000000006</v>
      </c>
      <c r="H126" s="5">
        <f>VLOOKUP('Ángulo de Inclinación'!$P$24,$A$3:$O$35,8,FALSE)*86.01</f>
        <v>3870.4500000000003</v>
      </c>
      <c r="I126" s="5">
        <f>VLOOKUP('Ángulo de Inclinación'!$P$24,$A$3:$O$35,9,FALSE)*86.01</f>
        <v>4644.54</v>
      </c>
      <c r="J126" s="5">
        <f>VLOOKUP('Ángulo de Inclinación'!$P$24,$A$3:$O$35,10,FALSE)*86.01</f>
        <v>6708.7800000000007</v>
      </c>
      <c r="K126" s="5">
        <f>VLOOKUP('Ángulo de Inclinación'!$P$24,$A$3:$O$35,11,FALSE)*86.01</f>
        <v>9289.08</v>
      </c>
      <c r="L126" s="5">
        <f>VLOOKUP('Ángulo de Inclinación'!$P$24,$A$3:$O$35,12,FALSE)*86.01</f>
        <v>11611.35</v>
      </c>
      <c r="M126" s="5">
        <f>VLOOKUP('Ángulo de Inclinación'!$P$24,$A$3:$O$35,13,FALSE)*86.01</f>
        <v>14449.68</v>
      </c>
      <c r="N126" s="101">
        <f>VLOOKUP('Ángulo de Inclinación'!$P$24,$A$3:$O$35,14,FALSE)*86.01</f>
        <v>15739.830000000002</v>
      </c>
    </row>
    <row r="127" spans="2:14">
      <c r="B127" s="95" t="s">
        <v>47</v>
      </c>
      <c r="C127" s="5">
        <f t="shared" ref="C127:N127" si="75">C126/C125</f>
        <v>0.36698386373840414</v>
      </c>
      <c r="D127" s="5">
        <f t="shared" si="75"/>
        <v>0.34466765422455176</v>
      </c>
      <c r="E127" s="5">
        <f t="shared" si="75"/>
        <v>0.32773599058189079</v>
      </c>
      <c r="F127" s="5">
        <f t="shared" si="75"/>
        <v>0.28267767490004447</v>
      </c>
      <c r="G127" s="5">
        <f t="shared" si="75"/>
        <v>0.25062424130563837</v>
      </c>
      <c r="H127" s="5">
        <f t="shared" si="75"/>
        <v>0.23252678192655618</v>
      </c>
      <c r="I127" s="5">
        <f t="shared" si="75"/>
        <v>0.26203588407977974</v>
      </c>
      <c r="J127" s="5">
        <f t="shared" si="75"/>
        <v>0.29737948174646267</v>
      </c>
      <c r="K127" s="5">
        <f t="shared" si="75"/>
        <v>0.31279143089783951</v>
      </c>
      <c r="L127" s="5">
        <f t="shared" si="75"/>
        <v>0.35647106346735918</v>
      </c>
      <c r="M127" s="5">
        <f t="shared" si="75"/>
        <v>0.34719828162363586</v>
      </c>
      <c r="N127" s="101">
        <f t="shared" si="75"/>
        <v>0.35982902633284847</v>
      </c>
    </row>
    <row r="128" spans="2:14">
      <c r="B128" s="95" t="s">
        <v>48</v>
      </c>
      <c r="C128" s="5">
        <f t="shared" ref="C128:N128" si="76">C127</f>
        <v>0.36698386373840414</v>
      </c>
      <c r="D128" s="5">
        <f t="shared" si="76"/>
        <v>0.34466765422455176</v>
      </c>
      <c r="E128" s="5">
        <f t="shared" si="76"/>
        <v>0.32773599058189079</v>
      </c>
      <c r="F128" s="5">
        <f t="shared" si="76"/>
        <v>0.28267767490004447</v>
      </c>
      <c r="G128" s="5">
        <f t="shared" si="76"/>
        <v>0.25062424130563837</v>
      </c>
      <c r="H128" s="5">
        <f t="shared" si="76"/>
        <v>0.23252678192655618</v>
      </c>
      <c r="I128" s="5">
        <f t="shared" si="76"/>
        <v>0.26203588407977974</v>
      </c>
      <c r="J128" s="5">
        <f t="shared" si="76"/>
        <v>0.29737948174646267</v>
      </c>
      <c r="K128" s="5">
        <f t="shared" si="76"/>
        <v>0.31279143089783951</v>
      </c>
      <c r="L128" s="5">
        <f t="shared" si="76"/>
        <v>0.35647106346735918</v>
      </c>
      <c r="M128" s="5">
        <f t="shared" si="76"/>
        <v>0.34719828162363586</v>
      </c>
      <c r="N128" s="101">
        <f t="shared" si="76"/>
        <v>0.35982902633284847</v>
      </c>
    </row>
    <row r="129" spans="2:15">
      <c r="B129" s="95" t="s">
        <v>49</v>
      </c>
      <c r="C129" s="5">
        <f>1.39-4.03*C127+5.53*C127^2-3.11*C127^3</f>
        <v>0.50210999595086325</v>
      </c>
      <c r="D129" s="5">
        <f t="shared" ref="D129:N129" si="77">1.39-4.03*D127+5.53*D127^2-3.11*D127^3</f>
        <v>0.53059092440270417</v>
      </c>
      <c r="E129" s="5">
        <f t="shared" si="77"/>
        <v>0.55372662350658697</v>
      </c>
      <c r="F129" s="5">
        <f t="shared" si="77"/>
        <v>0.62244468888591808</v>
      </c>
      <c r="G129" s="5">
        <f t="shared" si="77"/>
        <v>0.67837881927337285</v>
      </c>
      <c r="H129" s="5">
        <f t="shared" si="77"/>
        <v>0.71281677183707282</v>
      </c>
      <c r="I129" s="5">
        <f t="shared" si="77"/>
        <v>0.6577452071613652</v>
      </c>
      <c r="J129" s="5">
        <f t="shared" si="77"/>
        <v>0.59881506823328556</v>
      </c>
      <c r="K129" s="5">
        <f t="shared" si="77"/>
        <v>0.57532187576705285</v>
      </c>
      <c r="L129" s="5">
        <f t="shared" si="77"/>
        <v>0.51525289314036993</v>
      </c>
      <c r="M129" s="5">
        <f t="shared" si="77"/>
        <v>0.52724922107140038</v>
      </c>
      <c r="N129" s="101">
        <f t="shared" si="77"/>
        <v>0.51100291449670276</v>
      </c>
    </row>
    <row r="130" spans="2:15">
      <c r="B130" s="95" t="s">
        <v>40</v>
      </c>
      <c r="C130" s="5">
        <f>C100*C115*SIN(C119)+C119*C99*C114</f>
        <v>1.1169951152829716</v>
      </c>
      <c r="D130" s="5">
        <f t="shared" ref="D130:N130" si="78">D100*D115*SIN(D119)+D119*D99*D114</f>
        <v>1.0224871595686147</v>
      </c>
      <c r="E130" s="5">
        <f t="shared" si="78"/>
        <v>0.88015739213312139</v>
      </c>
      <c r="F130" s="5">
        <f t="shared" si="78"/>
        <v>0.69222740934784766</v>
      </c>
      <c r="G130" s="5">
        <f t="shared" si="78"/>
        <v>0.53784000745338212</v>
      </c>
      <c r="H130" s="5">
        <f t="shared" si="78"/>
        <v>0.4619627049485312</v>
      </c>
      <c r="I130" s="5">
        <f t="shared" si="78"/>
        <v>0.49214782785352545</v>
      </c>
      <c r="J130" s="5">
        <f t="shared" si="78"/>
        <v>0.6210464443360949</v>
      </c>
      <c r="K130" s="5">
        <f t="shared" si="78"/>
        <v>0.8052143214044124</v>
      </c>
      <c r="L130" s="5">
        <f t="shared" si="78"/>
        <v>0.87724776486471778</v>
      </c>
      <c r="M130" s="5">
        <f t="shared" si="78"/>
        <v>1.0931141283331729</v>
      </c>
      <c r="N130" s="101">
        <f t="shared" si="78"/>
        <v>1.1393708135012601</v>
      </c>
    </row>
    <row r="131" spans="2:15">
      <c r="B131" s="95" t="s">
        <v>40</v>
      </c>
      <c r="C131" s="5">
        <f t="shared" ref="C131:N131" si="79">(C104*C115*SIN(IF(C122&gt;C118,C119,C123))+IF(C122&gt;C118,C119,C123)*C103*C114)/C130</f>
        <v>0.92093897349579046</v>
      </c>
      <c r="D131" s="5">
        <f t="shared" si="79"/>
        <v>0.81178583900202894</v>
      </c>
      <c r="E131" s="5">
        <f t="shared" si="79"/>
        <v>0.65330403414276417</v>
      </c>
      <c r="F131" s="5">
        <f t="shared" si="79"/>
        <v>0.43303332966476071</v>
      </c>
      <c r="G131" s="5">
        <f t="shared" si="79"/>
        <v>0.23722254088936182</v>
      </c>
      <c r="H131" s="5">
        <f t="shared" si="79"/>
        <v>0.13488414381617428</v>
      </c>
      <c r="I131" s="5">
        <f t="shared" si="79"/>
        <v>0.17580969291760701</v>
      </c>
      <c r="J131" s="5">
        <f t="shared" si="79"/>
        <v>0.34511012054023943</v>
      </c>
      <c r="K131" s="5">
        <f t="shared" si="79"/>
        <v>0.56676213357197569</v>
      </c>
      <c r="L131" s="5">
        <f t="shared" si="79"/>
        <v>0.65000509654976146</v>
      </c>
      <c r="M131" s="5">
        <f t="shared" si="79"/>
        <v>0.89248433200790123</v>
      </c>
      <c r="N131" s="101">
        <f t="shared" si="79"/>
        <v>0.94840911292110308</v>
      </c>
    </row>
    <row r="132" spans="2:15">
      <c r="B132" s="95" t="s">
        <v>50</v>
      </c>
      <c r="C132" s="5">
        <f t="shared" ref="C132:N132" si="80">((1-C129)*C131+C129*(1+C96)/2+0.2*(1-C96)/2)</f>
        <v>0.94480088763783476</v>
      </c>
      <c r="D132" s="5">
        <f t="shared" si="80"/>
        <v>0.89432228888380405</v>
      </c>
      <c r="E132" s="5">
        <f t="shared" si="80"/>
        <v>0.82673786257597182</v>
      </c>
      <c r="F132" s="5">
        <f t="shared" si="80"/>
        <v>0.76379583360001657</v>
      </c>
      <c r="G132" s="5">
        <f t="shared" si="80"/>
        <v>0.72959987709614693</v>
      </c>
      <c r="H132" s="5">
        <f t="shared" si="80"/>
        <v>0.72467339781083084</v>
      </c>
      <c r="I132" s="5">
        <f t="shared" si="80"/>
        <v>0.69392371409585452</v>
      </c>
      <c r="J132" s="5">
        <f t="shared" si="80"/>
        <v>0.71636373136504439</v>
      </c>
      <c r="K132" s="5">
        <f t="shared" si="80"/>
        <v>0.79634045924169639</v>
      </c>
      <c r="L132" s="5">
        <f t="shared" si="80"/>
        <v>0.81381666661151497</v>
      </c>
      <c r="M132" s="5">
        <f t="shared" si="80"/>
        <v>0.93201876736501632</v>
      </c>
      <c r="N132" s="101">
        <f t="shared" si="80"/>
        <v>0.95847065721657665</v>
      </c>
    </row>
    <row r="133" spans="2:15">
      <c r="B133" s="94"/>
      <c r="N133" s="101"/>
    </row>
    <row r="134" spans="2:15">
      <c r="B134" s="25" t="s">
        <v>53</v>
      </c>
      <c r="C134" s="5">
        <f>C114*C99*C96</f>
        <v>0.17685869132422677</v>
      </c>
      <c r="D134" s="5">
        <f t="shared" ref="D134:N134" si="81">D114*D99*D96</f>
        <v>0.11206942290956534</v>
      </c>
      <c r="E134" s="5">
        <f t="shared" si="81"/>
        <v>2.3976830924299891E-2</v>
      </c>
      <c r="F134" s="5">
        <f t="shared" si="81"/>
        <v>-7.9753515589514976E-2</v>
      </c>
      <c r="G134" s="5">
        <f t="shared" si="81"/>
        <v>-0.15705339292877904</v>
      </c>
      <c r="H134" s="5">
        <f t="shared" si="81"/>
        <v>-0.19295819616163321</v>
      </c>
      <c r="I134" s="5">
        <f t="shared" si="81"/>
        <v>-0.1788224844897206</v>
      </c>
      <c r="J134" s="5">
        <f t="shared" si="81"/>
        <v>-0.11615958009762122</v>
      </c>
      <c r="K134" s="5">
        <f t="shared" si="81"/>
        <v>-1.8859308472408711E-2</v>
      </c>
      <c r="L134" s="5">
        <f t="shared" si="81"/>
        <v>2.2272863048040159E-2</v>
      </c>
      <c r="M134" s="5">
        <f t="shared" si="81"/>
        <v>0.15991734860101064</v>
      </c>
      <c r="N134" s="101">
        <f t="shared" si="81"/>
        <v>0.19312079884126093</v>
      </c>
    </row>
    <row r="135" spans="2:15">
      <c r="B135" s="25" t="s">
        <v>53</v>
      </c>
      <c r="C135" s="5">
        <f t="shared" ref="C135:N135" si="82">C134-C114*C100*C95</f>
        <v>0.31246366303224726</v>
      </c>
      <c r="D135" s="5">
        <f t="shared" si="82"/>
        <v>0.19799774686807259</v>
      </c>
      <c r="E135" s="5">
        <f t="shared" si="82"/>
        <v>4.2360872187938325E-2</v>
      </c>
      <c r="F135" s="5">
        <f t="shared" si="82"/>
        <v>-0.1409038788775977</v>
      </c>
      <c r="G135" s="5">
        <f t="shared" si="82"/>
        <v>-0.27747281221370695</v>
      </c>
      <c r="H135" s="5">
        <f t="shared" si="82"/>
        <v>-0.34090733304266929</v>
      </c>
      <c r="I135" s="5">
        <f t="shared" si="82"/>
        <v>-0.31593317873053423</v>
      </c>
      <c r="J135" s="5">
        <f t="shared" si="82"/>
        <v>-0.20522399901202104</v>
      </c>
      <c r="K135" s="5">
        <f t="shared" si="82"/>
        <v>-3.3319530770138051E-2</v>
      </c>
      <c r="L135" s="5">
        <f t="shared" si="82"/>
        <v>3.9350400718773604E-2</v>
      </c>
      <c r="M135" s="5">
        <f t="shared" si="82"/>
        <v>0.28253268274315085</v>
      </c>
      <c r="N135" s="101">
        <f t="shared" si="82"/>
        <v>0.34119461001229356</v>
      </c>
    </row>
    <row r="136" spans="2:15">
      <c r="B136" s="25" t="s">
        <v>53</v>
      </c>
      <c r="C136" s="5">
        <f t="shared" ref="C136:N136" si="83">C135+C115*C100*C96*C106</f>
        <v>0.86750418335142632</v>
      </c>
      <c r="D136" s="5">
        <f t="shared" si="83"/>
        <v>0.77765948579050659</v>
      </c>
      <c r="E136" s="5">
        <f t="shared" si="83"/>
        <v>0.6372509446978325</v>
      </c>
      <c r="F136" s="5">
        <f t="shared" si="83"/>
        <v>0.44668381874737173</v>
      </c>
      <c r="G136" s="5">
        <f t="shared" si="83"/>
        <v>0.28638875290602755</v>
      </c>
      <c r="H136" s="5">
        <f t="shared" si="83"/>
        <v>0.20606995389117311</v>
      </c>
      <c r="I136" s="5">
        <f t="shared" si="83"/>
        <v>0.23816747029748681</v>
      </c>
      <c r="J136" s="5">
        <f t="shared" si="83"/>
        <v>0.37323476750558582</v>
      </c>
      <c r="K136" s="5">
        <f t="shared" si="83"/>
        <v>0.56184545874760572</v>
      </c>
      <c r="L136" s="5">
        <f t="shared" si="83"/>
        <v>0.63433932081154842</v>
      </c>
      <c r="M136" s="5">
        <f t="shared" si="83"/>
        <v>0.8451915820477196</v>
      </c>
      <c r="N136" s="101">
        <f t="shared" si="83"/>
        <v>0.88808624501221534</v>
      </c>
    </row>
    <row r="137" spans="2:15">
      <c r="B137" s="25" t="s">
        <v>53</v>
      </c>
      <c r="C137" s="5">
        <f t="shared" ref="C137:N137" si="84">C136+C115*C99*C95*C106</f>
        <v>0.68802725857241454</v>
      </c>
      <c r="D137" s="5">
        <f t="shared" si="84"/>
        <v>0.590221087141654</v>
      </c>
      <c r="E137" s="5">
        <f t="shared" si="84"/>
        <v>0.44488833892944457</v>
      </c>
      <c r="F137" s="5">
        <f t="shared" si="84"/>
        <v>0.25668249605643567</v>
      </c>
      <c r="G137" s="5">
        <f t="shared" si="84"/>
        <v>0.10405947062124088</v>
      </c>
      <c r="H137" s="5">
        <f t="shared" si="84"/>
        <v>2.9200342053824491E-2</v>
      </c>
      <c r="I137" s="5">
        <f t="shared" si="84"/>
        <v>5.8994460643316871E-2</v>
      </c>
      <c r="J137" s="5">
        <f t="shared" si="84"/>
        <v>0.18618535989415913</v>
      </c>
      <c r="K137" s="5">
        <f t="shared" si="84"/>
        <v>0.36939395629990879</v>
      </c>
      <c r="L137" s="5">
        <f t="shared" si="84"/>
        <v>0.44194475186290999</v>
      </c>
      <c r="M137" s="5">
        <f t="shared" si="84"/>
        <v>0.66325119166206614</v>
      </c>
      <c r="N137" s="101">
        <f t="shared" si="84"/>
        <v>0.7112443294333175</v>
      </c>
    </row>
    <row r="138" spans="2:15">
      <c r="B138" s="25" t="s">
        <v>53</v>
      </c>
      <c r="C138" s="5">
        <f t="shared" ref="C138:N138" si="85">ATAN(SQRT(1-C137^2)/C137)/C92</f>
        <v>46.525848551341028</v>
      </c>
      <c r="D138" s="5">
        <f t="shared" si="85"/>
        <v>53.827301215708488</v>
      </c>
      <c r="E138" s="5">
        <f t="shared" si="85"/>
        <v>63.583805054909448</v>
      </c>
      <c r="F138" s="5">
        <f t="shared" si="85"/>
        <v>75.126696154369725</v>
      </c>
      <c r="G138" s="5">
        <f t="shared" si="85"/>
        <v>84.027018645324006</v>
      </c>
      <c r="H138" s="5">
        <f t="shared" si="85"/>
        <v>88.326705790671468</v>
      </c>
      <c r="I138" s="5">
        <f t="shared" si="85"/>
        <v>86.617902640759482</v>
      </c>
      <c r="J138" s="5">
        <f t="shared" si="85"/>
        <v>79.269750694239121</v>
      </c>
      <c r="K138" s="5">
        <f t="shared" si="85"/>
        <v>68.321754140292526</v>
      </c>
      <c r="L138" s="5">
        <f t="shared" si="85"/>
        <v>63.771970066402801</v>
      </c>
      <c r="M138" s="5">
        <f t="shared" si="85"/>
        <v>48.451698946370335</v>
      </c>
      <c r="N138" s="101">
        <f t="shared" si="85"/>
        <v>44.663752218074464</v>
      </c>
    </row>
    <row r="140" spans="2:15">
      <c r="C140" s="12">
        <f>C126*C132*1.05</f>
        <v>15614.555623032054</v>
      </c>
      <c r="D140" s="12">
        <f t="shared" ref="D140:N140" si="86">D126*D132*1.05</f>
        <v>12599.604118957564</v>
      </c>
      <c r="E140" s="12">
        <f t="shared" si="86"/>
        <v>9407.5518270090815</v>
      </c>
      <c r="F140" s="12">
        <f t="shared" si="86"/>
        <v>5794.2178249480812</v>
      </c>
      <c r="G140" s="12">
        <f t="shared" si="86"/>
        <v>3755.7601929280204</v>
      </c>
      <c r="H140" s="12">
        <f t="shared" si="86"/>
        <v>2945.0527601847771</v>
      </c>
      <c r="I140" s="12">
        <f t="shared" si="86"/>
        <v>3384.1042694200983</v>
      </c>
      <c r="J140" s="12">
        <f t="shared" si="86"/>
        <v>5046.2230073925421</v>
      </c>
      <c r="K140" s="12">
        <f t="shared" si="86"/>
        <v>7767.1337447895003</v>
      </c>
      <c r="L140" s="12">
        <f t="shared" si="86"/>
        <v>9921.9856594525954</v>
      </c>
      <c r="M140" s="12">
        <f t="shared" si="86"/>
        <v>14140.741589539877</v>
      </c>
      <c r="N140" s="12">
        <f t="shared" si="86"/>
        <v>15840.473464806051</v>
      </c>
      <c r="O140" s="12">
        <f>SUM(C140:N140)/86.01</f>
        <v>1234.9424960174426</v>
      </c>
    </row>
    <row r="145" spans="2:14">
      <c r="B145" s="21" t="s">
        <v>19</v>
      </c>
      <c r="C145" s="22">
        <f>PI()/180</f>
        <v>1.7453292519943295E-2</v>
      </c>
      <c r="D145" s="22">
        <f t="shared" ref="D145:N145" si="87">PI()/180</f>
        <v>1.7453292519943295E-2</v>
      </c>
      <c r="E145" s="22">
        <f t="shared" si="87"/>
        <v>1.7453292519943295E-2</v>
      </c>
      <c r="F145" s="22">
        <f t="shared" si="87"/>
        <v>1.7453292519943295E-2</v>
      </c>
      <c r="G145" s="22">
        <f t="shared" si="87"/>
        <v>1.7453292519943295E-2</v>
      </c>
      <c r="H145" s="22">
        <f t="shared" si="87"/>
        <v>1.7453292519943295E-2</v>
      </c>
      <c r="I145" s="22">
        <f t="shared" si="87"/>
        <v>1.7453292519943295E-2</v>
      </c>
      <c r="J145" s="22">
        <f t="shared" si="87"/>
        <v>1.7453292519943295E-2</v>
      </c>
      <c r="K145" s="22">
        <f t="shared" si="87"/>
        <v>1.7453292519943295E-2</v>
      </c>
      <c r="L145" s="22">
        <f t="shared" si="87"/>
        <v>1.7453292519943295E-2</v>
      </c>
      <c r="M145" s="22">
        <f t="shared" si="87"/>
        <v>1.7453292519943295E-2</v>
      </c>
      <c r="N145" s="24">
        <f t="shared" si="87"/>
        <v>1.7453292519943295E-2</v>
      </c>
    </row>
    <row r="146" spans="2:14">
      <c r="B146" s="94" t="s">
        <v>29</v>
      </c>
      <c r="C146" s="5">
        <f>'Ángulo de Inclinación'!$AG$37</f>
        <v>18</v>
      </c>
      <c r="D146" s="5">
        <f>'Ángulo de Inclinación'!$AG$37</f>
        <v>18</v>
      </c>
      <c r="E146" s="5">
        <f>'Ángulo de Inclinación'!$AG$37</f>
        <v>18</v>
      </c>
      <c r="F146" s="5">
        <f>'Ángulo de Inclinación'!$AG$37</f>
        <v>18</v>
      </c>
      <c r="G146" s="5">
        <f>'Ángulo de Inclinación'!$AG$37</f>
        <v>18</v>
      </c>
      <c r="H146" s="5">
        <f>'Ángulo de Inclinación'!$AG$37</f>
        <v>18</v>
      </c>
      <c r="I146" s="5">
        <f>'Ángulo de Inclinación'!$AG$37</f>
        <v>18</v>
      </c>
      <c r="J146" s="5">
        <f>'Ángulo de Inclinación'!$AG$37</f>
        <v>18</v>
      </c>
      <c r="K146" s="5">
        <f>'Ángulo de Inclinación'!$AG$37</f>
        <v>18</v>
      </c>
      <c r="L146" s="5">
        <f>'Ángulo de Inclinación'!$AG$37</f>
        <v>18</v>
      </c>
      <c r="M146" s="5">
        <f>'Ángulo de Inclinación'!$AG$37</f>
        <v>18</v>
      </c>
      <c r="N146" s="101">
        <f>'Ángulo de Inclinación'!$AG$37</f>
        <v>18</v>
      </c>
    </row>
    <row r="147" spans="2:14">
      <c r="B147" s="94" t="s">
        <v>30</v>
      </c>
      <c r="C147" s="5">
        <f t="shared" ref="C147:N147" si="88">C146*C145</f>
        <v>0.31415926535897931</v>
      </c>
      <c r="D147" s="5">
        <f t="shared" si="88"/>
        <v>0.31415926535897931</v>
      </c>
      <c r="E147" s="5">
        <f t="shared" si="88"/>
        <v>0.31415926535897931</v>
      </c>
      <c r="F147" s="5">
        <f t="shared" si="88"/>
        <v>0.31415926535897931</v>
      </c>
      <c r="G147" s="5">
        <f t="shared" si="88"/>
        <v>0.31415926535897931</v>
      </c>
      <c r="H147" s="5">
        <f t="shared" si="88"/>
        <v>0.31415926535897931</v>
      </c>
      <c r="I147" s="5">
        <f t="shared" si="88"/>
        <v>0.31415926535897931</v>
      </c>
      <c r="J147" s="5">
        <f t="shared" si="88"/>
        <v>0.31415926535897931</v>
      </c>
      <c r="K147" s="5">
        <f t="shared" si="88"/>
        <v>0.31415926535897931</v>
      </c>
      <c r="L147" s="5">
        <f t="shared" si="88"/>
        <v>0.31415926535897931</v>
      </c>
      <c r="M147" s="5">
        <f t="shared" si="88"/>
        <v>0.31415926535897931</v>
      </c>
      <c r="N147" s="101">
        <f t="shared" si="88"/>
        <v>0.31415926535897931</v>
      </c>
    </row>
    <row r="148" spans="2:14">
      <c r="B148" s="94" t="s">
        <v>31</v>
      </c>
      <c r="C148" s="5">
        <f t="shared" ref="C148:N148" si="89">SIN(C147)</f>
        <v>0.3090169943749474</v>
      </c>
      <c r="D148" s="5">
        <f t="shared" si="89"/>
        <v>0.3090169943749474</v>
      </c>
      <c r="E148" s="5">
        <f t="shared" si="89"/>
        <v>0.3090169943749474</v>
      </c>
      <c r="F148" s="5">
        <f t="shared" si="89"/>
        <v>0.3090169943749474</v>
      </c>
      <c r="G148" s="5">
        <f t="shared" si="89"/>
        <v>0.3090169943749474</v>
      </c>
      <c r="H148" s="5">
        <f t="shared" si="89"/>
        <v>0.3090169943749474</v>
      </c>
      <c r="I148" s="5">
        <f t="shared" si="89"/>
        <v>0.3090169943749474</v>
      </c>
      <c r="J148" s="5">
        <f t="shared" si="89"/>
        <v>0.3090169943749474</v>
      </c>
      <c r="K148" s="5">
        <f t="shared" si="89"/>
        <v>0.3090169943749474</v>
      </c>
      <c r="L148" s="5">
        <f t="shared" si="89"/>
        <v>0.3090169943749474</v>
      </c>
      <c r="M148" s="5">
        <f t="shared" si="89"/>
        <v>0.3090169943749474</v>
      </c>
      <c r="N148" s="101">
        <f t="shared" si="89"/>
        <v>0.3090169943749474</v>
      </c>
    </row>
    <row r="149" spans="2:14">
      <c r="B149" s="94" t="s">
        <v>32</v>
      </c>
      <c r="C149" s="5">
        <f>COS(C147)</f>
        <v>0.95105651629515353</v>
      </c>
      <c r="D149" s="5">
        <f t="shared" ref="D149:N149" si="90">COS(D147)</f>
        <v>0.95105651629515353</v>
      </c>
      <c r="E149" s="5">
        <f t="shared" si="90"/>
        <v>0.95105651629515353</v>
      </c>
      <c r="F149" s="5">
        <f t="shared" si="90"/>
        <v>0.95105651629515353</v>
      </c>
      <c r="G149" s="5">
        <f t="shared" si="90"/>
        <v>0.95105651629515353</v>
      </c>
      <c r="H149" s="5">
        <f t="shared" si="90"/>
        <v>0.95105651629515353</v>
      </c>
      <c r="I149" s="5">
        <f t="shared" si="90"/>
        <v>0.95105651629515353</v>
      </c>
      <c r="J149" s="5">
        <f t="shared" si="90"/>
        <v>0.95105651629515353</v>
      </c>
      <c r="K149" s="5">
        <f t="shared" si="90"/>
        <v>0.95105651629515353</v>
      </c>
      <c r="L149" s="5">
        <f t="shared" si="90"/>
        <v>0.95105651629515353</v>
      </c>
      <c r="M149" s="5">
        <f t="shared" si="90"/>
        <v>0.95105651629515353</v>
      </c>
      <c r="N149" s="101">
        <f t="shared" si="90"/>
        <v>0.95105651629515353</v>
      </c>
    </row>
    <row r="150" spans="2:14">
      <c r="B150" s="94" t="s">
        <v>33</v>
      </c>
      <c r="C150" s="5">
        <f>'Ángulo de Inclinación'!$S$21</f>
        <v>-33</v>
      </c>
      <c r="D150" s="5">
        <f>C150</f>
        <v>-33</v>
      </c>
      <c r="E150" s="5">
        <f t="shared" ref="E150:N150" si="91">D150</f>
        <v>-33</v>
      </c>
      <c r="F150" s="5">
        <f t="shared" si="91"/>
        <v>-33</v>
      </c>
      <c r="G150" s="5">
        <f t="shared" si="91"/>
        <v>-33</v>
      </c>
      <c r="H150" s="5">
        <f t="shared" si="91"/>
        <v>-33</v>
      </c>
      <c r="I150" s="5">
        <f t="shared" si="91"/>
        <v>-33</v>
      </c>
      <c r="J150" s="5">
        <f t="shared" si="91"/>
        <v>-33</v>
      </c>
      <c r="K150" s="5">
        <f t="shared" si="91"/>
        <v>-33</v>
      </c>
      <c r="L150" s="5">
        <f t="shared" si="91"/>
        <v>-33</v>
      </c>
      <c r="M150" s="5">
        <f t="shared" si="91"/>
        <v>-33</v>
      </c>
      <c r="N150" s="101">
        <f t="shared" si="91"/>
        <v>-33</v>
      </c>
    </row>
    <row r="151" spans="2:14">
      <c r="B151" s="94" t="s">
        <v>34</v>
      </c>
      <c r="C151" s="5">
        <f t="shared" ref="C151:N151" si="92">C150*C145</f>
        <v>-0.57595865315812877</v>
      </c>
      <c r="D151" s="5">
        <f t="shared" si="92"/>
        <v>-0.57595865315812877</v>
      </c>
      <c r="E151" s="5">
        <f t="shared" si="92"/>
        <v>-0.57595865315812877</v>
      </c>
      <c r="F151" s="5">
        <f t="shared" si="92"/>
        <v>-0.57595865315812877</v>
      </c>
      <c r="G151" s="5">
        <f t="shared" si="92"/>
        <v>-0.57595865315812877</v>
      </c>
      <c r="H151" s="5">
        <f t="shared" si="92"/>
        <v>-0.57595865315812877</v>
      </c>
      <c r="I151" s="5">
        <f t="shared" si="92"/>
        <v>-0.57595865315812877</v>
      </c>
      <c r="J151" s="5">
        <f t="shared" si="92"/>
        <v>-0.57595865315812877</v>
      </c>
      <c r="K151" s="5">
        <f t="shared" si="92"/>
        <v>-0.57595865315812877</v>
      </c>
      <c r="L151" s="5">
        <f t="shared" si="92"/>
        <v>-0.57595865315812877</v>
      </c>
      <c r="M151" s="5">
        <f t="shared" si="92"/>
        <v>-0.57595865315812877</v>
      </c>
      <c r="N151" s="101">
        <f t="shared" si="92"/>
        <v>-0.57595865315812877</v>
      </c>
    </row>
    <row r="152" spans="2:14">
      <c r="B152" s="94" t="s">
        <v>20</v>
      </c>
      <c r="C152" s="5">
        <f t="shared" ref="C152:N152" si="93">SIN(C151)</f>
        <v>-0.54463903501502708</v>
      </c>
      <c r="D152" s="5">
        <f t="shared" si="93"/>
        <v>-0.54463903501502708</v>
      </c>
      <c r="E152" s="5">
        <f t="shared" si="93"/>
        <v>-0.54463903501502708</v>
      </c>
      <c r="F152" s="5">
        <f t="shared" si="93"/>
        <v>-0.54463903501502708</v>
      </c>
      <c r="G152" s="5">
        <f t="shared" si="93"/>
        <v>-0.54463903501502708</v>
      </c>
      <c r="H152" s="5">
        <f t="shared" si="93"/>
        <v>-0.54463903501502708</v>
      </c>
      <c r="I152" s="5">
        <f t="shared" si="93"/>
        <v>-0.54463903501502708</v>
      </c>
      <c r="J152" s="5">
        <f t="shared" si="93"/>
        <v>-0.54463903501502708</v>
      </c>
      <c r="K152" s="5">
        <f t="shared" si="93"/>
        <v>-0.54463903501502708</v>
      </c>
      <c r="L152" s="5">
        <f t="shared" si="93"/>
        <v>-0.54463903501502708</v>
      </c>
      <c r="M152" s="5">
        <f t="shared" si="93"/>
        <v>-0.54463903501502708</v>
      </c>
      <c r="N152" s="101">
        <f t="shared" si="93"/>
        <v>-0.54463903501502708</v>
      </c>
    </row>
    <row r="153" spans="2:14">
      <c r="B153" s="94" t="s">
        <v>21</v>
      </c>
      <c r="C153" s="5">
        <f>COS(C151)</f>
        <v>0.83867056794542405</v>
      </c>
      <c r="D153" s="5">
        <f t="shared" ref="D153:N153" si="94">COS(D151)</f>
        <v>0.83867056794542405</v>
      </c>
      <c r="E153" s="5">
        <f t="shared" si="94"/>
        <v>0.83867056794542405</v>
      </c>
      <c r="F153" s="5">
        <f t="shared" si="94"/>
        <v>0.83867056794542405</v>
      </c>
      <c r="G153" s="5">
        <f t="shared" si="94"/>
        <v>0.83867056794542405</v>
      </c>
      <c r="H153" s="5">
        <f t="shared" si="94"/>
        <v>0.83867056794542405</v>
      </c>
      <c r="I153" s="5">
        <f t="shared" si="94"/>
        <v>0.83867056794542405</v>
      </c>
      <c r="J153" s="5">
        <f t="shared" si="94"/>
        <v>0.83867056794542405</v>
      </c>
      <c r="K153" s="5">
        <f t="shared" si="94"/>
        <v>0.83867056794542405</v>
      </c>
      <c r="L153" s="5">
        <f t="shared" si="94"/>
        <v>0.83867056794542405</v>
      </c>
      <c r="M153" s="5">
        <f t="shared" si="94"/>
        <v>0.83867056794542405</v>
      </c>
      <c r="N153" s="101">
        <f t="shared" si="94"/>
        <v>0.83867056794542405</v>
      </c>
    </row>
    <row r="154" spans="2:14">
      <c r="B154" s="94" t="s">
        <v>22</v>
      </c>
      <c r="C154" s="5">
        <f>TAN(C151)</f>
        <v>-0.64940759319751062</v>
      </c>
      <c r="D154" s="5">
        <f t="shared" ref="D154:N154" si="95">TAN(D151)</f>
        <v>-0.64940759319751062</v>
      </c>
      <c r="E154" s="5">
        <f t="shared" si="95"/>
        <v>-0.64940759319751062</v>
      </c>
      <c r="F154" s="5">
        <f t="shared" si="95"/>
        <v>-0.64940759319751062</v>
      </c>
      <c r="G154" s="5">
        <f t="shared" si="95"/>
        <v>-0.64940759319751062</v>
      </c>
      <c r="H154" s="5">
        <f t="shared" si="95"/>
        <v>-0.64940759319751062</v>
      </c>
      <c r="I154" s="5">
        <f t="shared" si="95"/>
        <v>-0.64940759319751062</v>
      </c>
      <c r="J154" s="5">
        <f t="shared" si="95"/>
        <v>-0.64940759319751062</v>
      </c>
      <c r="K154" s="5">
        <f t="shared" si="95"/>
        <v>-0.64940759319751062</v>
      </c>
      <c r="L154" s="5">
        <f t="shared" si="95"/>
        <v>-0.64940759319751062</v>
      </c>
      <c r="M154" s="5">
        <f t="shared" si="95"/>
        <v>-0.64940759319751062</v>
      </c>
      <c r="N154" s="101">
        <f t="shared" si="95"/>
        <v>-0.64940759319751062</v>
      </c>
    </row>
    <row r="155" spans="2:14">
      <c r="B155" s="94" t="s">
        <v>35</v>
      </c>
      <c r="C155" s="5">
        <f>(C150-C146)*C145</f>
        <v>-0.89011791851710809</v>
      </c>
      <c r="D155" s="5">
        <f t="shared" ref="D155:N155" si="96">(D150-D146)*D145</f>
        <v>-0.89011791851710809</v>
      </c>
      <c r="E155" s="5">
        <f t="shared" si="96"/>
        <v>-0.89011791851710809</v>
      </c>
      <c r="F155" s="5">
        <f t="shared" si="96"/>
        <v>-0.89011791851710809</v>
      </c>
      <c r="G155" s="5">
        <f t="shared" si="96"/>
        <v>-0.89011791851710809</v>
      </c>
      <c r="H155" s="5">
        <f t="shared" si="96"/>
        <v>-0.89011791851710809</v>
      </c>
      <c r="I155" s="5">
        <f t="shared" si="96"/>
        <v>-0.89011791851710809</v>
      </c>
      <c r="J155" s="5">
        <f t="shared" si="96"/>
        <v>-0.89011791851710809</v>
      </c>
      <c r="K155" s="5">
        <f t="shared" si="96"/>
        <v>-0.89011791851710809</v>
      </c>
      <c r="L155" s="5">
        <f t="shared" si="96"/>
        <v>-0.89011791851710809</v>
      </c>
      <c r="M155" s="5">
        <f t="shared" si="96"/>
        <v>-0.89011791851710809</v>
      </c>
      <c r="N155" s="101">
        <f t="shared" si="96"/>
        <v>-0.89011791851710809</v>
      </c>
    </row>
    <row r="156" spans="2:14">
      <c r="B156" s="23" t="s">
        <v>23</v>
      </c>
      <c r="C156" s="5">
        <f t="shared" ref="C156:N156" si="97">SIN(C155)</f>
        <v>-0.7771459614569709</v>
      </c>
      <c r="D156" s="5">
        <f t="shared" si="97"/>
        <v>-0.7771459614569709</v>
      </c>
      <c r="E156" s="5">
        <f t="shared" si="97"/>
        <v>-0.7771459614569709</v>
      </c>
      <c r="F156" s="5">
        <f t="shared" si="97"/>
        <v>-0.7771459614569709</v>
      </c>
      <c r="G156" s="5">
        <f t="shared" si="97"/>
        <v>-0.7771459614569709</v>
      </c>
      <c r="H156" s="5">
        <f t="shared" si="97"/>
        <v>-0.7771459614569709</v>
      </c>
      <c r="I156" s="5">
        <f t="shared" si="97"/>
        <v>-0.7771459614569709</v>
      </c>
      <c r="J156" s="5">
        <f t="shared" si="97"/>
        <v>-0.7771459614569709</v>
      </c>
      <c r="K156" s="5">
        <f t="shared" si="97"/>
        <v>-0.7771459614569709</v>
      </c>
      <c r="L156" s="5">
        <f t="shared" si="97"/>
        <v>-0.7771459614569709</v>
      </c>
      <c r="M156" s="5">
        <f t="shared" si="97"/>
        <v>-0.7771459614569709</v>
      </c>
      <c r="N156" s="101">
        <f t="shared" si="97"/>
        <v>-0.7771459614569709</v>
      </c>
    </row>
    <row r="157" spans="2:14">
      <c r="B157" s="23" t="s">
        <v>24</v>
      </c>
      <c r="C157" s="5">
        <f>COS(C155)</f>
        <v>0.6293203910498375</v>
      </c>
      <c r="D157" s="5">
        <f t="shared" ref="D157:N157" si="98">COS(D155)</f>
        <v>0.6293203910498375</v>
      </c>
      <c r="E157" s="5">
        <f t="shared" si="98"/>
        <v>0.6293203910498375</v>
      </c>
      <c r="F157" s="5">
        <f t="shared" si="98"/>
        <v>0.6293203910498375</v>
      </c>
      <c r="G157" s="5">
        <f t="shared" si="98"/>
        <v>0.6293203910498375</v>
      </c>
      <c r="H157" s="5">
        <f t="shared" si="98"/>
        <v>0.6293203910498375</v>
      </c>
      <c r="I157" s="5">
        <f t="shared" si="98"/>
        <v>0.6293203910498375</v>
      </c>
      <c r="J157" s="5">
        <f t="shared" si="98"/>
        <v>0.6293203910498375</v>
      </c>
      <c r="K157" s="5">
        <f t="shared" si="98"/>
        <v>0.6293203910498375</v>
      </c>
      <c r="L157" s="5">
        <f t="shared" si="98"/>
        <v>0.6293203910498375</v>
      </c>
      <c r="M157" s="5">
        <f t="shared" si="98"/>
        <v>0.6293203910498375</v>
      </c>
      <c r="N157" s="101">
        <f t="shared" si="98"/>
        <v>0.6293203910498375</v>
      </c>
    </row>
    <row r="158" spans="2:14">
      <c r="B158" s="23" t="s">
        <v>25</v>
      </c>
      <c r="C158" s="5">
        <f>TAN(C155)</f>
        <v>-1.2348971565350515</v>
      </c>
      <c r="D158" s="5">
        <f t="shared" ref="D158:N158" si="99">TAN(D155)</f>
        <v>-1.2348971565350515</v>
      </c>
      <c r="E158" s="5">
        <f t="shared" si="99"/>
        <v>-1.2348971565350515</v>
      </c>
      <c r="F158" s="5">
        <f t="shared" si="99"/>
        <v>-1.2348971565350515</v>
      </c>
      <c r="G158" s="5">
        <f t="shared" si="99"/>
        <v>-1.2348971565350515</v>
      </c>
      <c r="H158" s="5">
        <f t="shared" si="99"/>
        <v>-1.2348971565350515</v>
      </c>
      <c r="I158" s="5">
        <f t="shared" si="99"/>
        <v>-1.2348971565350515</v>
      </c>
      <c r="J158" s="5">
        <f t="shared" si="99"/>
        <v>-1.2348971565350515</v>
      </c>
      <c r="K158" s="5">
        <f t="shared" si="99"/>
        <v>-1.2348971565350515</v>
      </c>
      <c r="L158" s="5">
        <f t="shared" si="99"/>
        <v>-1.2348971565350515</v>
      </c>
      <c r="M158" s="5">
        <f t="shared" si="99"/>
        <v>-1.2348971565350515</v>
      </c>
      <c r="N158" s="101">
        <f t="shared" si="99"/>
        <v>-1.2348971565350515</v>
      </c>
    </row>
    <row r="159" spans="2:14">
      <c r="B159" s="95" t="s">
        <v>36</v>
      </c>
      <c r="C159" s="5">
        <f>COS(37.5*C145)</f>
        <v>0.79335334029123517</v>
      </c>
      <c r="D159" s="5">
        <f t="shared" ref="D159:N159" si="100">COS(37.5*D145)</f>
        <v>0.79335334029123517</v>
      </c>
      <c r="E159" s="5">
        <f t="shared" si="100"/>
        <v>0.79335334029123517</v>
      </c>
      <c r="F159" s="5">
        <f t="shared" si="100"/>
        <v>0.79335334029123517</v>
      </c>
      <c r="G159" s="5">
        <f t="shared" si="100"/>
        <v>0.79335334029123517</v>
      </c>
      <c r="H159" s="5">
        <f t="shared" si="100"/>
        <v>0.79335334029123517</v>
      </c>
      <c r="I159" s="5">
        <f t="shared" si="100"/>
        <v>0.79335334029123517</v>
      </c>
      <c r="J159" s="5">
        <f t="shared" si="100"/>
        <v>0.79335334029123517</v>
      </c>
      <c r="K159" s="5">
        <f t="shared" si="100"/>
        <v>0.79335334029123517</v>
      </c>
      <c r="L159" s="5">
        <f t="shared" si="100"/>
        <v>0.79335334029123517</v>
      </c>
      <c r="M159" s="5">
        <f t="shared" si="100"/>
        <v>0.79335334029123517</v>
      </c>
      <c r="N159" s="101">
        <f t="shared" si="100"/>
        <v>0.79335334029123517</v>
      </c>
    </row>
    <row r="160" spans="2:14">
      <c r="B160" s="95" t="s">
        <v>37</v>
      </c>
      <c r="C160" s="5">
        <f>23.45*C145</f>
        <v>0.40927970959267029</v>
      </c>
      <c r="D160" s="5">
        <f t="shared" ref="D160:N160" si="101">23.45*D145</f>
        <v>0.40927970959267029</v>
      </c>
      <c r="E160" s="5">
        <f t="shared" si="101"/>
        <v>0.40927970959267029</v>
      </c>
      <c r="F160" s="5">
        <f t="shared" si="101"/>
        <v>0.40927970959267029</v>
      </c>
      <c r="G160" s="5">
        <f t="shared" si="101"/>
        <v>0.40927970959267029</v>
      </c>
      <c r="H160" s="5">
        <f t="shared" si="101"/>
        <v>0.40927970959267029</v>
      </c>
      <c r="I160" s="5">
        <f t="shared" si="101"/>
        <v>0.40927970959267029</v>
      </c>
      <c r="J160" s="5">
        <f t="shared" si="101"/>
        <v>0.40927970959267029</v>
      </c>
      <c r="K160" s="5">
        <f t="shared" si="101"/>
        <v>0.40927970959267029</v>
      </c>
      <c r="L160" s="5">
        <f t="shared" si="101"/>
        <v>0.40927970959267029</v>
      </c>
      <c r="M160" s="5">
        <f t="shared" si="101"/>
        <v>0.40927970959267029</v>
      </c>
      <c r="N160" s="101">
        <f t="shared" si="101"/>
        <v>0.40927970959267029</v>
      </c>
    </row>
    <row r="161" spans="2:14">
      <c r="B161" s="8" t="s">
        <v>14</v>
      </c>
      <c r="C161" s="1">
        <v>31</v>
      </c>
      <c r="D161" s="1">
        <v>28</v>
      </c>
      <c r="E161" s="1">
        <v>31</v>
      </c>
      <c r="F161" s="1">
        <v>30</v>
      </c>
      <c r="G161" s="1">
        <v>31</v>
      </c>
      <c r="H161" s="1">
        <v>30</v>
      </c>
      <c r="I161" s="1">
        <v>31</v>
      </c>
      <c r="J161" s="1">
        <v>31</v>
      </c>
      <c r="K161" s="1">
        <v>30</v>
      </c>
      <c r="L161" s="1">
        <v>31</v>
      </c>
      <c r="M161" s="1">
        <v>30</v>
      </c>
      <c r="N161" s="2">
        <v>31</v>
      </c>
    </row>
    <row r="162" spans="2:14">
      <c r="B162" s="95" t="s">
        <v>26</v>
      </c>
      <c r="C162" s="5">
        <f>1353*3.6</f>
        <v>4870.8</v>
      </c>
      <c r="D162" s="5">
        <f t="shared" ref="D162:N162" si="102">1353*3.6</f>
        <v>4870.8</v>
      </c>
      <c r="E162" s="5">
        <f t="shared" si="102"/>
        <v>4870.8</v>
      </c>
      <c r="F162" s="5">
        <f t="shared" si="102"/>
        <v>4870.8</v>
      </c>
      <c r="G162" s="5">
        <f t="shared" si="102"/>
        <v>4870.8</v>
      </c>
      <c r="H162" s="5">
        <f t="shared" si="102"/>
        <v>4870.8</v>
      </c>
      <c r="I162" s="5">
        <f t="shared" si="102"/>
        <v>4870.8</v>
      </c>
      <c r="J162" s="5">
        <f t="shared" si="102"/>
        <v>4870.8</v>
      </c>
      <c r="K162" s="5">
        <f t="shared" si="102"/>
        <v>4870.8</v>
      </c>
      <c r="L162" s="5">
        <f t="shared" si="102"/>
        <v>4870.8</v>
      </c>
      <c r="M162" s="5">
        <f t="shared" si="102"/>
        <v>4870.8</v>
      </c>
      <c r="N162" s="101">
        <f t="shared" si="102"/>
        <v>4870.8</v>
      </c>
    </row>
    <row r="163" spans="2:14">
      <c r="B163" s="23" t="s">
        <v>27</v>
      </c>
      <c r="C163" s="5">
        <f t="shared" ref="C163:N163" si="103">(24*C162)/PI()</f>
        <v>37210.171046976189</v>
      </c>
      <c r="D163" s="5">
        <f t="shared" si="103"/>
        <v>37210.171046976189</v>
      </c>
      <c r="E163" s="5">
        <f t="shared" si="103"/>
        <v>37210.171046976189</v>
      </c>
      <c r="F163" s="5">
        <f t="shared" si="103"/>
        <v>37210.171046976189</v>
      </c>
      <c r="G163" s="5">
        <f t="shared" si="103"/>
        <v>37210.171046976189</v>
      </c>
      <c r="H163" s="5">
        <f t="shared" si="103"/>
        <v>37210.171046976189</v>
      </c>
      <c r="I163" s="5">
        <f t="shared" si="103"/>
        <v>37210.171046976189</v>
      </c>
      <c r="J163" s="5">
        <f t="shared" si="103"/>
        <v>37210.171046976189</v>
      </c>
      <c r="K163" s="5">
        <f t="shared" si="103"/>
        <v>37210.171046976189</v>
      </c>
      <c r="L163" s="5">
        <f t="shared" si="103"/>
        <v>37210.171046976189</v>
      </c>
      <c r="M163" s="5">
        <f t="shared" si="103"/>
        <v>37210.171046976189</v>
      </c>
      <c r="N163" s="102">
        <f t="shared" si="103"/>
        <v>37210.171046976189</v>
      </c>
    </row>
    <row r="164" spans="2:14">
      <c r="B164" s="21" t="s">
        <v>14</v>
      </c>
      <c r="C164" s="22">
        <v>15</v>
      </c>
      <c r="D164" s="22">
        <v>46</v>
      </c>
      <c r="E164" s="22">
        <v>74</v>
      </c>
      <c r="F164" s="22">
        <v>105</v>
      </c>
      <c r="G164" s="22">
        <v>135</v>
      </c>
      <c r="H164" s="22">
        <v>166</v>
      </c>
      <c r="I164" s="22">
        <v>196</v>
      </c>
      <c r="J164" s="22">
        <v>227</v>
      </c>
      <c r="K164" s="22">
        <v>258</v>
      </c>
      <c r="L164" s="22">
        <v>270</v>
      </c>
      <c r="M164" s="22">
        <v>319</v>
      </c>
      <c r="N164" s="24">
        <v>349</v>
      </c>
    </row>
    <row r="165" spans="2:14">
      <c r="B165" s="95" t="s">
        <v>38</v>
      </c>
      <c r="C165" s="5">
        <f>(360*C145)/365</f>
        <v>1.7214206321039961E-2</v>
      </c>
      <c r="D165" s="5">
        <f t="shared" ref="D165:N165" si="104">(360*D145)/365</f>
        <v>1.7214206321039961E-2</v>
      </c>
      <c r="E165" s="5">
        <f t="shared" si="104"/>
        <v>1.7214206321039961E-2</v>
      </c>
      <c r="F165" s="5">
        <f t="shared" si="104"/>
        <v>1.7214206321039961E-2</v>
      </c>
      <c r="G165" s="5">
        <f t="shared" si="104"/>
        <v>1.7214206321039961E-2</v>
      </c>
      <c r="H165" s="5">
        <f t="shared" si="104"/>
        <v>1.7214206321039961E-2</v>
      </c>
      <c r="I165" s="5">
        <f t="shared" si="104"/>
        <v>1.7214206321039961E-2</v>
      </c>
      <c r="J165" s="5">
        <f t="shared" si="104"/>
        <v>1.7214206321039961E-2</v>
      </c>
      <c r="K165" s="5">
        <f t="shared" si="104"/>
        <v>1.7214206321039961E-2</v>
      </c>
      <c r="L165" s="5">
        <f t="shared" si="104"/>
        <v>1.7214206321039961E-2</v>
      </c>
      <c r="M165" s="5">
        <f t="shared" si="104"/>
        <v>1.7214206321039961E-2</v>
      </c>
      <c r="N165" s="101">
        <f t="shared" si="104"/>
        <v>1.7214206321039961E-2</v>
      </c>
    </row>
    <row r="166" spans="2:14">
      <c r="B166" s="95" t="s">
        <v>39</v>
      </c>
      <c r="C166" s="5">
        <f t="shared" ref="C166:N166" si="105">C160*SIN(C165*(284+C164))</f>
        <v>-0.37122234990040354</v>
      </c>
      <c r="D166" s="5">
        <f t="shared" si="105"/>
        <v>-0.23193953024048489</v>
      </c>
      <c r="E166" s="5">
        <f t="shared" si="105"/>
        <v>-4.9198713707110125E-2</v>
      </c>
      <c r="F166" s="5">
        <f t="shared" si="105"/>
        <v>0.16432088762716554</v>
      </c>
      <c r="G166" s="5">
        <f t="shared" si="105"/>
        <v>0.32798083344699769</v>
      </c>
      <c r="H166" s="5">
        <f t="shared" si="105"/>
        <v>0.40691321620538912</v>
      </c>
      <c r="I166" s="5">
        <f t="shared" si="105"/>
        <v>0.37554836000057829</v>
      </c>
      <c r="J166" s="5">
        <f t="shared" si="105"/>
        <v>0.24056857736111795</v>
      </c>
      <c r="K166" s="5">
        <f t="shared" si="105"/>
        <v>3.8691973511018649E-2</v>
      </c>
      <c r="L166" s="5">
        <f t="shared" si="105"/>
        <v>-4.5699766008172903E-2</v>
      </c>
      <c r="M166" s="5">
        <f t="shared" si="105"/>
        <v>-0.33419245656714902</v>
      </c>
      <c r="N166" s="101">
        <f t="shared" si="105"/>
        <v>-0.40727641274141724</v>
      </c>
    </row>
    <row r="167" spans="2:14">
      <c r="B167" s="23" t="s">
        <v>41</v>
      </c>
      <c r="C167" s="5">
        <f t="shared" ref="C167:N167" si="106">SIN(C166)</f>
        <v>-0.36275479176733588</v>
      </c>
      <c r="D167" s="5">
        <f t="shared" si="106"/>
        <v>-0.22986554896822295</v>
      </c>
      <c r="E167" s="5">
        <f t="shared" si="106"/>
        <v>-4.9178868417837161E-2</v>
      </c>
      <c r="F167" s="5">
        <f t="shared" si="106"/>
        <v>0.16358240425600395</v>
      </c>
      <c r="G167" s="5">
        <f t="shared" si="106"/>
        <v>0.32213215206816698</v>
      </c>
      <c r="H167" s="5">
        <f t="shared" si="106"/>
        <v>0.39577647976650848</v>
      </c>
      <c r="I167" s="5">
        <f t="shared" si="106"/>
        <v>0.36678272715173194</v>
      </c>
      <c r="J167" s="5">
        <f t="shared" si="106"/>
        <v>0.23825486875759558</v>
      </c>
      <c r="K167" s="5">
        <f t="shared" si="106"/>
        <v>3.868232014248444E-2</v>
      </c>
      <c r="L167" s="5">
        <f t="shared" si="106"/>
        <v>-4.5683860581339865E-2</v>
      </c>
      <c r="M167" s="5">
        <f t="shared" si="106"/>
        <v>-0.32800641041381234</v>
      </c>
      <c r="N167" s="101">
        <f t="shared" si="106"/>
        <v>-0.3961099940583282</v>
      </c>
    </row>
    <row r="168" spans="2:14">
      <c r="B168" s="23" t="s">
        <v>42</v>
      </c>
      <c r="C168" s="5">
        <f>COS(C166)</f>
        <v>0.93188462861549382</v>
      </c>
      <c r="D168" s="5">
        <f t="shared" ref="D168:N168" si="107">COS(D166)</f>
        <v>0.97322239462393045</v>
      </c>
      <c r="E168" s="5">
        <f t="shared" si="107"/>
        <v>0.99878998738530667</v>
      </c>
      <c r="F168" s="5">
        <f t="shared" si="107"/>
        <v>0.9865296736631014</v>
      </c>
      <c r="G168" s="5">
        <f t="shared" si="107"/>
        <v>0.94669471140591643</v>
      </c>
      <c r="H168" s="5">
        <f t="shared" si="107"/>
        <v>0.91834687240912982</v>
      </c>
      <c r="I168" s="5">
        <f t="shared" si="107"/>
        <v>0.93030663281691062</v>
      </c>
      <c r="J168" s="5">
        <f t="shared" si="107"/>
        <v>0.97120266552007617</v>
      </c>
      <c r="K168" s="5">
        <f t="shared" si="107"/>
        <v>0.99925155897221118</v>
      </c>
      <c r="L168" s="5">
        <f t="shared" si="107"/>
        <v>0.99895594741829563</v>
      </c>
      <c r="M168" s="5">
        <f t="shared" si="107"/>
        <v>0.94467549705041343</v>
      </c>
      <c r="N168" s="101">
        <f t="shared" si="107"/>
        <v>0.91820306719543865</v>
      </c>
    </row>
    <row r="169" spans="2:14">
      <c r="B169" s="95" t="s">
        <v>43</v>
      </c>
      <c r="C169" s="5">
        <f>-C154*TAN(C166)</f>
        <v>-0.25279493727939895</v>
      </c>
      <c r="D169" s="5">
        <f t="shared" ref="D169:N169" si="108">-D154*TAN(D166)</f>
        <v>-0.15338368058429347</v>
      </c>
      <c r="E169" s="5">
        <f t="shared" si="108"/>
        <v>-3.1975821723054777E-2</v>
      </c>
      <c r="F169" s="5">
        <f t="shared" si="108"/>
        <v>0.10768216939983473</v>
      </c>
      <c r="G169" s="5">
        <f t="shared" si="108"/>
        <v>0.22097415676427687</v>
      </c>
      <c r="H169" s="5">
        <f t="shared" si="108"/>
        <v>0.27987273533703205</v>
      </c>
      <c r="I169" s="5">
        <f t="shared" si="108"/>
        <v>0.25603546149595474</v>
      </c>
      <c r="J169" s="5">
        <f t="shared" si="108"/>
        <v>0.15931229019496604</v>
      </c>
      <c r="K169" s="5">
        <f t="shared" si="108"/>
        <v>2.5139407787228688E-2</v>
      </c>
      <c r="L169" s="5">
        <f t="shared" si="108"/>
        <v>-2.9698452694306664E-2</v>
      </c>
      <c r="M169" s="5">
        <f t="shared" si="108"/>
        <v>-0.2254846814649849</v>
      </c>
      <c r="N169" s="101">
        <f t="shared" si="108"/>
        <v>-0.2801524489224414</v>
      </c>
    </row>
    <row r="170" spans="2:14">
      <c r="B170" s="95" t="s">
        <v>43</v>
      </c>
      <c r="C170" s="5">
        <f t="shared" ref="C170:N170" si="109">ATAN(SQRT(1-C169^2)/C169)/C145</f>
        <v>-75.357035975139581</v>
      </c>
      <c r="D170" s="5">
        <f t="shared" si="109"/>
        <v>-81.176932953233873</v>
      </c>
      <c r="E170" s="5">
        <f t="shared" si="109"/>
        <v>-88.167608022467178</v>
      </c>
      <c r="F170" s="5">
        <f t="shared" si="109"/>
        <v>83.818280042663901</v>
      </c>
      <c r="G170" s="5">
        <f t="shared" si="109"/>
        <v>77.233743659218291</v>
      </c>
      <c r="H170" s="5">
        <f t="shared" si="109"/>
        <v>73.747390694945281</v>
      </c>
      <c r="I170" s="5">
        <f t="shared" si="109"/>
        <v>75.165050235055276</v>
      </c>
      <c r="J170" s="5">
        <f t="shared" si="109"/>
        <v>80.833018649384044</v>
      </c>
      <c r="K170" s="5">
        <f t="shared" si="109"/>
        <v>88.559466273378604</v>
      </c>
      <c r="L170" s="5">
        <f t="shared" si="109"/>
        <v>-88.298153769146509</v>
      </c>
      <c r="M170" s="5">
        <f t="shared" si="109"/>
        <v>-76.968619195469273</v>
      </c>
      <c r="N170" s="101">
        <f t="shared" si="109"/>
        <v>-73.730696456088936</v>
      </c>
    </row>
    <row r="171" spans="2:14">
      <c r="B171" s="95" t="s">
        <v>43</v>
      </c>
      <c r="C171" s="5">
        <f t="shared" ref="C171:N171" si="110">IF(C170&lt;0,C170+180,C170)</f>
        <v>104.64296402486042</v>
      </c>
      <c r="D171" s="5">
        <f t="shared" si="110"/>
        <v>98.823067046766127</v>
      </c>
      <c r="E171" s="5">
        <f t="shared" si="110"/>
        <v>91.832391977532822</v>
      </c>
      <c r="F171" s="5">
        <f t="shared" si="110"/>
        <v>83.818280042663901</v>
      </c>
      <c r="G171" s="5">
        <f t="shared" si="110"/>
        <v>77.233743659218291</v>
      </c>
      <c r="H171" s="5">
        <f t="shared" si="110"/>
        <v>73.747390694945281</v>
      </c>
      <c r="I171" s="5">
        <f t="shared" si="110"/>
        <v>75.165050235055276</v>
      </c>
      <c r="J171" s="5">
        <f t="shared" si="110"/>
        <v>80.833018649384044</v>
      </c>
      <c r="K171" s="5">
        <f t="shared" si="110"/>
        <v>88.559466273378604</v>
      </c>
      <c r="L171" s="5">
        <f t="shared" si="110"/>
        <v>91.701846230853491</v>
      </c>
      <c r="M171" s="5">
        <f t="shared" si="110"/>
        <v>103.03138080453073</v>
      </c>
      <c r="N171" s="101">
        <f t="shared" si="110"/>
        <v>106.26930354391106</v>
      </c>
    </row>
    <row r="172" spans="2:14">
      <c r="B172" s="95" t="s">
        <v>51</v>
      </c>
      <c r="C172" s="5">
        <f t="shared" ref="C172:N172" si="111">C171*C145</f>
        <v>1.8263642612797917</v>
      </c>
      <c r="D172" s="5">
        <f t="shared" si="111"/>
        <v>1.724787896885178</v>
      </c>
      <c r="E172" s="5">
        <f t="shared" si="111"/>
        <v>1.6027775999899743</v>
      </c>
      <c r="F172" s="5">
        <f t="shared" si="111"/>
        <v>1.4629049601031383</v>
      </c>
      <c r="G172" s="5">
        <f t="shared" si="111"/>
        <v>1.3479831204946526</v>
      </c>
      <c r="H172" s="5">
        <f t="shared" si="111"/>
        <v>1.2871347823814243</v>
      </c>
      <c r="I172" s="5">
        <f t="shared" si="111"/>
        <v>1.3118776090286524</v>
      </c>
      <c r="J172" s="5">
        <f t="shared" si="111"/>
        <v>1.4108023197577315</v>
      </c>
      <c r="K172" s="5">
        <f t="shared" si="111"/>
        <v>1.5456542702793294</v>
      </c>
      <c r="L172" s="5">
        <f t="shared" si="111"/>
        <v>1.6004991468859455</v>
      </c>
      <c r="M172" s="5">
        <f t="shared" si="111"/>
        <v>1.7982368279151453</v>
      </c>
      <c r="N172" s="101">
        <f t="shared" si="111"/>
        <v>1.8547492406425266</v>
      </c>
    </row>
    <row r="173" spans="2:14">
      <c r="B173" s="23" t="s">
        <v>44</v>
      </c>
      <c r="C173" s="5">
        <f>-C158*TAN(C166)</f>
        <v>-0.48070849879613498</v>
      </c>
      <c r="D173" s="5">
        <f t="shared" ref="D173:N173" si="112">-D158*TAN(D166)</f>
        <v>-0.29167055174055623</v>
      </c>
      <c r="E173" s="5">
        <f t="shared" si="112"/>
        <v>-6.0804418884678114E-2</v>
      </c>
      <c r="F173" s="5">
        <f t="shared" si="112"/>
        <v>0.20476570676767286</v>
      </c>
      <c r="G173" s="5">
        <f t="shared" si="112"/>
        <v>0.42019890237554164</v>
      </c>
      <c r="H173" s="5">
        <f t="shared" si="112"/>
        <v>0.53219895898918601</v>
      </c>
      <c r="I173" s="5">
        <f t="shared" si="112"/>
        <v>0.48687059819661221</v>
      </c>
      <c r="J173" s="5">
        <f t="shared" si="112"/>
        <v>0.3029442467621653</v>
      </c>
      <c r="K173" s="5">
        <f t="shared" si="112"/>
        <v>4.7804465975780398E-2</v>
      </c>
      <c r="L173" s="5">
        <f t="shared" si="112"/>
        <v>-5.6473831180683248E-2</v>
      </c>
      <c r="M173" s="5">
        <f t="shared" si="112"/>
        <v>-0.42877600277555405</v>
      </c>
      <c r="N173" s="101">
        <f t="shared" si="112"/>
        <v>-0.53273085531267284</v>
      </c>
    </row>
    <row r="174" spans="2:14">
      <c r="B174" s="23" t="s">
        <v>44</v>
      </c>
      <c r="C174" s="5">
        <f t="shared" ref="C174:N174" si="113">ATAN(SQRT(1-C173^2)/C173)/C145</f>
        <v>-61.268314585975212</v>
      </c>
      <c r="D174" s="5">
        <f t="shared" si="113"/>
        <v>-73.042003982991176</v>
      </c>
      <c r="E174" s="5">
        <f t="shared" si="113"/>
        <v>-86.514013115757749</v>
      </c>
      <c r="F174" s="5">
        <f t="shared" si="113"/>
        <v>78.184215906921665</v>
      </c>
      <c r="G174" s="5">
        <f t="shared" si="113"/>
        <v>65.152854337221726</v>
      </c>
      <c r="H174" s="5">
        <f t="shared" si="113"/>
        <v>57.845849624194862</v>
      </c>
      <c r="I174" s="5">
        <f t="shared" si="113"/>
        <v>60.86489823102373</v>
      </c>
      <c r="J174" s="5">
        <f t="shared" si="113"/>
        <v>72.365472466095682</v>
      </c>
      <c r="K174" s="5">
        <f t="shared" si="113"/>
        <v>87.259961561291476</v>
      </c>
      <c r="L174" s="5">
        <f t="shared" si="113"/>
        <v>-86.762565407928022</v>
      </c>
      <c r="M174" s="5">
        <f t="shared" si="113"/>
        <v>-64.610092744277352</v>
      </c>
      <c r="N174" s="101">
        <f t="shared" si="113"/>
        <v>-57.809845913749726</v>
      </c>
    </row>
    <row r="175" spans="2:14">
      <c r="B175" s="23" t="s">
        <v>44</v>
      </c>
      <c r="C175" s="5">
        <f t="shared" ref="C175:N175" si="114">IF(C174&lt;0,C174+180,C174)</f>
        <v>118.73168541402478</v>
      </c>
      <c r="D175" s="5">
        <f t="shared" si="114"/>
        <v>106.95799601700882</v>
      </c>
      <c r="E175" s="5">
        <f t="shared" si="114"/>
        <v>93.485986884242251</v>
      </c>
      <c r="F175" s="5">
        <f t="shared" si="114"/>
        <v>78.184215906921665</v>
      </c>
      <c r="G175" s="5">
        <f t="shared" si="114"/>
        <v>65.152854337221726</v>
      </c>
      <c r="H175" s="5">
        <f t="shared" si="114"/>
        <v>57.845849624194862</v>
      </c>
      <c r="I175" s="5">
        <f t="shared" si="114"/>
        <v>60.86489823102373</v>
      </c>
      <c r="J175" s="5">
        <f t="shared" si="114"/>
        <v>72.365472466095682</v>
      </c>
      <c r="K175" s="5">
        <f t="shared" si="114"/>
        <v>87.259961561291476</v>
      </c>
      <c r="L175" s="5">
        <f t="shared" si="114"/>
        <v>93.237434592071978</v>
      </c>
      <c r="M175" s="5">
        <f t="shared" si="114"/>
        <v>115.38990725572265</v>
      </c>
      <c r="N175" s="101">
        <f t="shared" si="114"/>
        <v>122.19015408625027</v>
      </c>
    </row>
    <row r="176" spans="2:14">
      <c r="B176" s="23" t="s">
        <v>45</v>
      </c>
      <c r="C176" s="5">
        <f t="shared" ref="C176:N176" si="115">C175*C145</f>
        <v>2.0722588369168591</v>
      </c>
      <c r="D176" s="5">
        <f t="shared" si="115"/>
        <v>1.8667691918317848</v>
      </c>
      <c r="E176" s="5">
        <f t="shared" si="115"/>
        <v>1.6316382756062624</v>
      </c>
      <c r="F176" s="5">
        <f t="shared" si="115"/>
        <v>1.3645719906659075</v>
      </c>
      <c r="G176" s="5">
        <f t="shared" si="115"/>
        <v>1.137131825256787</v>
      </c>
      <c r="H176" s="5">
        <f t="shared" si="115"/>
        <v>1.0096005345557248</v>
      </c>
      <c r="I176" s="5">
        <f t="shared" si="115"/>
        <v>1.0622928730226364</v>
      </c>
      <c r="J176" s="5">
        <f t="shared" si="115"/>
        <v>1.2630157592946702</v>
      </c>
      <c r="K176" s="5">
        <f t="shared" si="115"/>
        <v>1.5229736344082281</v>
      </c>
      <c r="L176" s="5">
        <f t="shared" si="115"/>
        <v>1.6273002197445121</v>
      </c>
      <c r="M176" s="5">
        <f t="shared" si="115"/>
        <v>2.0139338051832545</v>
      </c>
      <c r="N176" s="101">
        <f t="shared" si="115"/>
        <v>2.1326205023242708</v>
      </c>
    </row>
    <row r="177" spans="2:14">
      <c r="B177" s="95" t="s">
        <v>46</v>
      </c>
      <c r="C177" s="5">
        <f>C172*C152*C167+C153*C168*SIN(C172)</f>
        <v>1.1169951152829716</v>
      </c>
      <c r="D177" s="5">
        <f t="shared" ref="D177:N177" si="116">D172*D152*D167+D153*D168*SIN(D172)</f>
        <v>1.0224871595686147</v>
      </c>
      <c r="E177" s="5">
        <f t="shared" si="116"/>
        <v>0.88015739213312139</v>
      </c>
      <c r="F177" s="5">
        <f t="shared" si="116"/>
        <v>0.69222740934784766</v>
      </c>
      <c r="G177" s="5">
        <f t="shared" si="116"/>
        <v>0.53784000745338212</v>
      </c>
      <c r="H177" s="5">
        <f t="shared" si="116"/>
        <v>0.4619627049485312</v>
      </c>
      <c r="I177" s="5">
        <f t="shared" si="116"/>
        <v>0.49214782785352545</v>
      </c>
      <c r="J177" s="5">
        <f t="shared" si="116"/>
        <v>0.6210464443360949</v>
      </c>
      <c r="K177" s="5">
        <f t="shared" si="116"/>
        <v>0.8052143214044124</v>
      </c>
      <c r="L177" s="5">
        <f t="shared" si="116"/>
        <v>0.87724776486471778</v>
      </c>
      <c r="M177" s="5">
        <f t="shared" si="116"/>
        <v>1.0931141283331729</v>
      </c>
      <c r="N177" s="101">
        <f t="shared" si="116"/>
        <v>1.1393708135012601</v>
      </c>
    </row>
    <row r="178" spans="2:14">
      <c r="B178" s="95" t="s">
        <v>46</v>
      </c>
      <c r="C178" s="5">
        <f t="shared" ref="C178:N178" si="117">C163*(1+0.033*COS(C165*C164))*C177</f>
        <v>42889.705938732419</v>
      </c>
      <c r="D178" s="5">
        <f t="shared" si="117"/>
        <v>38928.979367638691</v>
      </c>
      <c r="E178" s="5">
        <f t="shared" si="117"/>
        <v>33067.042715566859</v>
      </c>
      <c r="F178" s="5">
        <f t="shared" si="117"/>
        <v>25558.580112683896</v>
      </c>
      <c r="G178" s="5">
        <f t="shared" si="117"/>
        <v>19561.435775166199</v>
      </c>
      <c r="H178" s="5">
        <f t="shared" si="117"/>
        <v>16645.179397969245</v>
      </c>
      <c r="I178" s="5">
        <f t="shared" si="117"/>
        <v>17724.824278593533</v>
      </c>
      <c r="J178" s="5">
        <f t="shared" si="117"/>
        <v>22559.660002769513</v>
      </c>
      <c r="K178" s="5">
        <f t="shared" si="117"/>
        <v>29697.36086866746</v>
      </c>
      <c r="L178" s="5">
        <f t="shared" si="117"/>
        <v>32573.050634341915</v>
      </c>
      <c r="M178" s="5">
        <f t="shared" si="117"/>
        <v>41617.947912724703</v>
      </c>
      <c r="N178" s="101">
        <f t="shared" si="117"/>
        <v>43742.524499511528</v>
      </c>
    </row>
    <row r="179" spans="2:14">
      <c r="B179" s="95" t="s">
        <v>52</v>
      </c>
      <c r="C179" s="5">
        <f>VLOOKUP('Ángulo de Inclinación'!$P$24,$A$3:$O$35,3,FALSE)*86.01</f>
        <v>15739.830000000002</v>
      </c>
      <c r="D179" s="5">
        <f>VLOOKUP('Ángulo de Inclinación'!$P$24,$A$3:$O$35,4,FALSE)*86.01</f>
        <v>13417.560000000001</v>
      </c>
      <c r="E179" s="5">
        <f>VLOOKUP('Ángulo de Inclinación'!$P$24,$A$3:$O$35,5,FALSE)*86.01</f>
        <v>10837.26</v>
      </c>
      <c r="F179" s="5">
        <f>VLOOKUP('Ángulo de Inclinación'!$P$24,$A$3:$O$35,6,FALSE)*86.01</f>
        <v>7224.84</v>
      </c>
      <c r="G179" s="5">
        <f>VLOOKUP('Ángulo de Inclinación'!$P$24,$A$3:$O$35,7,FALSE)*86.01</f>
        <v>4902.5700000000006</v>
      </c>
      <c r="H179" s="5">
        <f>VLOOKUP('Ángulo de Inclinación'!$P$24,$A$3:$O$35,8,FALSE)*86.01</f>
        <v>3870.4500000000003</v>
      </c>
      <c r="I179" s="5">
        <f>VLOOKUP('Ángulo de Inclinación'!$P$24,$A$3:$O$35,9,FALSE)*86.01</f>
        <v>4644.54</v>
      </c>
      <c r="J179" s="5">
        <f>VLOOKUP('Ángulo de Inclinación'!$P$24,$A$3:$O$35,10,FALSE)*86.01</f>
        <v>6708.7800000000007</v>
      </c>
      <c r="K179" s="5">
        <f>VLOOKUP('Ángulo de Inclinación'!$P$24,$A$3:$O$35,11,FALSE)*86.01</f>
        <v>9289.08</v>
      </c>
      <c r="L179" s="5">
        <f>VLOOKUP('Ángulo de Inclinación'!$P$24,$A$3:$O$35,12,FALSE)*86.01</f>
        <v>11611.35</v>
      </c>
      <c r="M179" s="5">
        <f>VLOOKUP('Ángulo de Inclinación'!$P$24,$A$3:$O$35,13,FALSE)*86.01</f>
        <v>14449.68</v>
      </c>
      <c r="N179" s="101">
        <f>VLOOKUP('Ángulo de Inclinación'!$P$24,$A$3:$O$35,14,FALSE)*86.01</f>
        <v>15739.830000000002</v>
      </c>
    </row>
    <row r="180" spans="2:14">
      <c r="B180" s="95" t="s">
        <v>47</v>
      </c>
      <c r="C180" s="5">
        <f t="shared" ref="C180:N180" si="118">C179/C178</f>
        <v>0.36698386373840414</v>
      </c>
      <c r="D180" s="5">
        <f t="shared" si="118"/>
        <v>0.34466765422455176</v>
      </c>
      <c r="E180" s="5">
        <f t="shared" si="118"/>
        <v>0.32773599058189079</v>
      </c>
      <c r="F180" s="5">
        <f t="shared" si="118"/>
        <v>0.28267767490004447</v>
      </c>
      <c r="G180" s="5">
        <f t="shared" si="118"/>
        <v>0.25062424130563837</v>
      </c>
      <c r="H180" s="5">
        <f t="shared" si="118"/>
        <v>0.23252678192655618</v>
      </c>
      <c r="I180" s="5">
        <f t="shared" si="118"/>
        <v>0.26203588407977974</v>
      </c>
      <c r="J180" s="5">
        <f t="shared" si="118"/>
        <v>0.29737948174646267</v>
      </c>
      <c r="K180" s="5">
        <f t="shared" si="118"/>
        <v>0.31279143089783951</v>
      </c>
      <c r="L180" s="5">
        <f t="shared" si="118"/>
        <v>0.35647106346735918</v>
      </c>
      <c r="M180" s="5">
        <f t="shared" si="118"/>
        <v>0.34719828162363586</v>
      </c>
      <c r="N180" s="101">
        <f t="shared" si="118"/>
        <v>0.35982902633284847</v>
      </c>
    </row>
    <row r="181" spans="2:14">
      <c r="B181" s="95" t="s">
        <v>48</v>
      </c>
      <c r="C181" s="5">
        <f t="shared" ref="C181:N181" si="119">C180</f>
        <v>0.36698386373840414</v>
      </c>
      <c r="D181" s="5">
        <f t="shared" si="119"/>
        <v>0.34466765422455176</v>
      </c>
      <c r="E181" s="5">
        <f t="shared" si="119"/>
        <v>0.32773599058189079</v>
      </c>
      <c r="F181" s="5">
        <f t="shared" si="119"/>
        <v>0.28267767490004447</v>
      </c>
      <c r="G181" s="5">
        <f t="shared" si="119"/>
        <v>0.25062424130563837</v>
      </c>
      <c r="H181" s="5">
        <f t="shared" si="119"/>
        <v>0.23252678192655618</v>
      </c>
      <c r="I181" s="5">
        <f t="shared" si="119"/>
        <v>0.26203588407977974</v>
      </c>
      <c r="J181" s="5">
        <f t="shared" si="119"/>
        <v>0.29737948174646267</v>
      </c>
      <c r="K181" s="5">
        <f t="shared" si="119"/>
        <v>0.31279143089783951</v>
      </c>
      <c r="L181" s="5">
        <f t="shared" si="119"/>
        <v>0.35647106346735918</v>
      </c>
      <c r="M181" s="5">
        <f t="shared" si="119"/>
        <v>0.34719828162363586</v>
      </c>
      <c r="N181" s="101">
        <f t="shared" si="119"/>
        <v>0.35982902633284847</v>
      </c>
    </row>
    <row r="182" spans="2:14">
      <c r="B182" s="95" t="s">
        <v>49</v>
      </c>
      <c r="C182" s="5">
        <f>1.39-4.03*C180+5.53*C180^2-3.11*C180^3</f>
        <v>0.50210999595086325</v>
      </c>
      <c r="D182" s="5">
        <f t="shared" ref="D182:N182" si="120">1.39-4.03*D180+5.53*D180^2-3.11*D180^3</f>
        <v>0.53059092440270417</v>
      </c>
      <c r="E182" s="5">
        <f t="shared" si="120"/>
        <v>0.55372662350658697</v>
      </c>
      <c r="F182" s="5">
        <f t="shared" si="120"/>
        <v>0.62244468888591808</v>
      </c>
      <c r="G182" s="5">
        <f t="shared" si="120"/>
        <v>0.67837881927337285</v>
      </c>
      <c r="H182" s="5">
        <f t="shared" si="120"/>
        <v>0.71281677183707282</v>
      </c>
      <c r="I182" s="5">
        <f t="shared" si="120"/>
        <v>0.6577452071613652</v>
      </c>
      <c r="J182" s="5">
        <f t="shared" si="120"/>
        <v>0.59881506823328556</v>
      </c>
      <c r="K182" s="5">
        <f t="shared" si="120"/>
        <v>0.57532187576705285</v>
      </c>
      <c r="L182" s="5">
        <f t="shared" si="120"/>
        <v>0.51525289314036993</v>
      </c>
      <c r="M182" s="5">
        <f t="shared" si="120"/>
        <v>0.52724922107140038</v>
      </c>
      <c r="N182" s="101">
        <f t="shared" si="120"/>
        <v>0.51100291449670276</v>
      </c>
    </row>
    <row r="183" spans="2:14">
      <c r="B183" s="95" t="s">
        <v>40</v>
      </c>
      <c r="C183" s="5">
        <f>C153*C168*SIN(C172)+C172*C152*C167</f>
        <v>1.1169951152829716</v>
      </c>
      <c r="D183" s="5">
        <f t="shared" ref="D183:N183" si="121">D153*D168*SIN(D172)+D172*D152*D167</f>
        <v>1.0224871595686147</v>
      </c>
      <c r="E183" s="5">
        <f t="shared" si="121"/>
        <v>0.88015739213312139</v>
      </c>
      <c r="F183" s="5">
        <f t="shared" si="121"/>
        <v>0.69222740934784766</v>
      </c>
      <c r="G183" s="5">
        <f t="shared" si="121"/>
        <v>0.53784000745338212</v>
      </c>
      <c r="H183" s="5">
        <f t="shared" si="121"/>
        <v>0.4619627049485312</v>
      </c>
      <c r="I183" s="5">
        <f t="shared" si="121"/>
        <v>0.49214782785352545</v>
      </c>
      <c r="J183" s="5">
        <f t="shared" si="121"/>
        <v>0.6210464443360949</v>
      </c>
      <c r="K183" s="5">
        <f t="shared" si="121"/>
        <v>0.8052143214044124</v>
      </c>
      <c r="L183" s="5">
        <f t="shared" si="121"/>
        <v>0.87724776486471778</v>
      </c>
      <c r="M183" s="5">
        <f t="shared" si="121"/>
        <v>1.0931141283331729</v>
      </c>
      <c r="N183" s="101">
        <f t="shared" si="121"/>
        <v>1.1393708135012601</v>
      </c>
    </row>
    <row r="184" spans="2:14">
      <c r="B184" s="95" t="s">
        <v>40</v>
      </c>
      <c r="C184" s="5">
        <f t="shared" ref="C184:N184" si="122">(C157*C168*SIN(IF(C175&gt;C171,C172,C176))+IF(C175&gt;C171,C172,C176)*C156*C167)/C183</f>
        <v>0.96892321724378649</v>
      </c>
      <c r="D184" s="5">
        <f t="shared" si="122"/>
        <v>0.89324907212649385</v>
      </c>
      <c r="E184" s="5">
        <f t="shared" si="122"/>
        <v>0.78337613851819765</v>
      </c>
      <c r="F184" s="5">
        <f t="shared" si="122"/>
        <v>0.62727031735482908</v>
      </c>
      <c r="G184" s="5">
        <f t="shared" si="122"/>
        <v>0.47588664720447277</v>
      </c>
      <c r="H184" s="5">
        <f t="shared" si="122"/>
        <v>0.38696078324448324</v>
      </c>
      <c r="I184" s="5">
        <f t="shared" si="122"/>
        <v>0.42382603205417069</v>
      </c>
      <c r="J184" s="5">
        <f t="shared" si="122"/>
        <v>0.56133953059377106</v>
      </c>
      <c r="K184" s="5">
        <f t="shared" si="122"/>
        <v>0.72321997845646402</v>
      </c>
      <c r="L184" s="5">
        <f t="shared" si="122"/>
        <v>0.78108903716005906</v>
      </c>
      <c r="M184" s="5">
        <f t="shared" si="122"/>
        <v>0.94919606346848084</v>
      </c>
      <c r="N184" s="101">
        <f t="shared" si="122"/>
        <v>0.98796783127987886</v>
      </c>
    </row>
    <row r="185" spans="2:14">
      <c r="B185" s="95" t="s">
        <v>50</v>
      </c>
      <c r="C185" s="5">
        <f t="shared" ref="C185:N185" si="123">((1-C182)*C184+C182*(1+C149)/2+0.2*(1-C149)/2)</f>
        <v>0.97713402267572858</v>
      </c>
      <c r="D185" s="5">
        <f t="shared" si="123"/>
        <v>0.94180000986700696</v>
      </c>
      <c r="E185" s="5">
        <f t="shared" si="123"/>
        <v>0.89467023129069223</v>
      </c>
      <c r="F185" s="5">
        <f t="shared" si="123"/>
        <v>0.84893597133410603</v>
      </c>
      <c r="G185" s="5">
        <f t="shared" si="123"/>
        <v>0.81972728166638631</v>
      </c>
      <c r="H185" s="5">
        <f t="shared" si="123"/>
        <v>0.81139589908368837</v>
      </c>
      <c r="I185" s="5">
        <f t="shared" si="123"/>
        <v>0.79159987541784904</v>
      </c>
      <c r="J185" s="5">
        <f t="shared" si="123"/>
        <v>0.81425633011584564</v>
      </c>
      <c r="K185" s="5">
        <f t="shared" si="123"/>
        <v>0.87327279957039794</v>
      </c>
      <c r="L185" s="5">
        <f t="shared" si="123"/>
        <v>0.88616875668432193</v>
      </c>
      <c r="M185" s="5">
        <f t="shared" si="123"/>
        <v>0.9679740409726193</v>
      </c>
      <c r="N185" s="101">
        <f t="shared" si="123"/>
        <v>0.98650552152466231</v>
      </c>
    </row>
    <row r="186" spans="2:14">
      <c r="B186" s="94"/>
      <c r="N186" s="101"/>
    </row>
    <row r="187" spans="2:14">
      <c r="B187" s="25" t="s">
        <v>53</v>
      </c>
      <c r="C187" s="5">
        <f>C167*C152*C149</f>
        <v>0.18790063511636756</v>
      </c>
      <c r="D187" s="5">
        <f t="shared" ref="D187:N187" si="124">D167*D152*D149</f>
        <v>0.11906633247233311</v>
      </c>
      <c r="E187" s="5">
        <f t="shared" si="124"/>
        <v>2.5473793371536525E-2</v>
      </c>
      <c r="F187" s="5">
        <f t="shared" si="124"/>
        <v>-8.473282324904427E-2</v>
      </c>
      <c r="G187" s="5">
        <f t="shared" si="124"/>
        <v>-0.16685881851516088</v>
      </c>
      <c r="H187" s="5">
        <f t="shared" si="124"/>
        <v>-0.20500529172870172</v>
      </c>
      <c r="I187" s="5">
        <f t="shared" si="124"/>
        <v>-0.1899870351698261</v>
      </c>
      <c r="J187" s="5">
        <f t="shared" si="124"/>
        <v>-0.12341185333764666</v>
      </c>
      <c r="K187" s="5">
        <f t="shared" si="124"/>
        <v>-2.0036765020072622E-2</v>
      </c>
      <c r="L187" s="5">
        <f t="shared" si="124"/>
        <v>2.3663440463405325E-2</v>
      </c>
      <c r="M187" s="5">
        <f t="shared" si="124"/>
        <v>0.16990158155795021</v>
      </c>
      <c r="N187" s="101">
        <f t="shared" si="124"/>
        <v>0.20517804629645808</v>
      </c>
    </row>
    <row r="188" spans="2:14">
      <c r="B188" s="25" t="s">
        <v>53</v>
      </c>
      <c r="C188" s="5">
        <f t="shared" ref="C188:N188" si="125">C187-C167*C153*C148</f>
        <v>0.2819134214211495</v>
      </c>
      <c r="D188" s="5">
        <f t="shared" si="125"/>
        <v>0.17863908305874404</v>
      </c>
      <c r="E188" s="5">
        <f t="shared" si="125"/>
        <v>3.8219158979945919E-2</v>
      </c>
      <c r="F188" s="5">
        <f t="shared" si="125"/>
        <v>-0.12712740483297508</v>
      </c>
      <c r="G188" s="5">
        <f t="shared" si="125"/>
        <v>-0.25034370103521875</v>
      </c>
      <c r="H188" s="5">
        <f t="shared" si="125"/>
        <v>-0.3075760928901986</v>
      </c>
      <c r="I188" s="5">
        <f t="shared" si="125"/>
        <v>-0.28504371513814253</v>
      </c>
      <c r="J188" s="5">
        <f t="shared" si="125"/>
        <v>-0.18515880905242604</v>
      </c>
      <c r="K188" s="5">
        <f t="shared" si="125"/>
        <v>-3.0061808878517417E-2</v>
      </c>
      <c r="L188" s="5">
        <f t="shared" si="125"/>
        <v>3.550302775455158E-2</v>
      </c>
      <c r="M188" s="5">
        <f t="shared" si="125"/>
        <v>0.25490885718509199</v>
      </c>
      <c r="N188" s="101">
        <f t="shared" si="125"/>
        <v>0.30783528217517447</v>
      </c>
    </row>
    <row r="189" spans="2:14">
      <c r="B189" s="25" t="s">
        <v>53</v>
      </c>
      <c r="C189" s="5">
        <f t="shared" ref="C189:N189" si="126">C188+C168*C153*C149*C159</f>
        <v>0.87160717920259967</v>
      </c>
      <c r="D189" s="5">
        <f t="shared" si="126"/>
        <v>0.79449125340251081</v>
      </c>
      <c r="E189" s="5">
        <f t="shared" si="126"/>
        <v>0.67025042423515235</v>
      </c>
      <c r="F189" s="5">
        <f t="shared" si="126"/>
        <v>0.49714557120013309</v>
      </c>
      <c r="G189" s="5">
        <f t="shared" si="126"/>
        <v>0.34872183207716911</v>
      </c>
      <c r="H189" s="5">
        <f t="shared" si="126"/>
        <v>0.27355101395172432</v>
      </c>
      <c r="I189" s="5">
        <f t="shared" si="126"/>
        <v>0.30365149170292749</v>
      </c>
      <c r="J189" s="5">
        <f t="shared" si="126"/>
        <v>0.42941528285933367</v>
      </c>
      <c r="K189" s="5">
        <f t="shared" si="126"/>
        <v>0.60226153747257682</v>
      </c>
      <c r="L189" s="5">
        <f t="shared" si="126"/>
        <v>0.66763931201370952</v>
      </c>
      <c r="M189" s="5">
        <f t="shared" si="126"/>
        <v>0.85269663759666336</v>
      </c>
      <c r="N189" s="101">
        <f t="shared" si="126"/>
        <v>0.8888713895153928</v>
      </c>
    </row>
    <row r="190" spans="2:14">
      <c r="B190" s="25" t="s">
        <v>53</v>
      </c>
      <c r="C190" s="5">
        <f t="shared" ref="C190:N190" si="127">C189+C168*C152*C148*C159</f>
        <v>0.74717866037056724</v>
      </c>
      <c r="D190" s="5">
        <f t="shared" si="127"/>
        <v>0.66454317041166533</v>
      </c>
      <c r="E190" s="5">
        <f t="shared" si="127"/>
        <v>0.53688846617897257</v>
      </c>
      <c r="F190" s="5">
        <f t="shared" si="127"/>
        <v>0.36542065342772379</v>
      </c>
      <c r="G190" s="5">
        <f t="shared" si="127"/>
        <v>0.2223158188120222</v>
      </c>
      <c r="H190" s="5">
        <f t="shared" si="127"/>
        <v>0.15093010402463716</v>
      </c>
      <c r="I190" s="5">
        <f t="shared" si="127"/>
        <v>0.17943367242952235</v>
      </c>
      <c r="J190" s="5">
        <f t="shared" si="127"/>
        <v>0.2997368812143516</v>
      </c>
      <c r="K190" s="5">
        <f t="shared" si="127"/>
        <v>0.46883794875190293</v>
      </c>
      <c r="L190" s="5">
        <f t="shared" si="127"/>
        <v>0.53425519438921409</v>
      </c>
      <c r="M190" s="5">
        <f t="shared" si="127"/>
        <v>0.72656023694636651</v>
      </c>
      <c r="N190" s="101">
        <f t="shared" si="127"/>
        <v>0.76626968096709269</v>
      </c>
    </row>
    <row r="191" spans="2:14">
      <c r="B191" s="25" t="s">
        <v>53</v>
      </c>
      <c r="C191" s="5">
        <f t="shared" ref="C191:N191" si="128">ATAN(SQRT(1-C190^2)/C190)/C145</f>
        <v>41.653427788369399</v>
      </c>
      <c r="D191" s="5">
        <f t="shared" si="128"/>
        <v>48.352711786406495</v>
      </c>
      <c r="E191" s="5">
        <f t="shared" si="128"/>
        <v>57.527926599513684</v>
      </c>
      <c r="F191" s="5">
        <f t="shared" si="128"/>
        <v>68.566527277625738</v>
      </c>
      <c r="G191" s="5">
        <f t="shared" si="128"/>
        <v>77.154911316159115</v>
      </c>
      <c r="H191" s="5">
        <f t="shared" si="128"/>
        <v>81.319168716525752</v>
      </c>
      <c r="I191" s="5">
        <f t="shared" si="128"/>
        <v>79.663225427527266</v>
      </c>
      <c r="J191" s="5">
        <f t="shared" si="128"/>
        <v>72.558199709735831</v>
      </c>
      <c r="K191" s="5">
        <f t="shared" si="128"/>
        <v>62.041108317242468</v>
      </c>
      <c r="L191" s="5">
        <f t="shared" si="128"/>
        <v>57.706585378709093</v>
      </c>
      <c r="M191" s="5">
        <f t="shared" si="128"/>
        <v>43.401203630531519</v>
      </c>
      <c r="N191" s="101">
        <f t="shared" si="128"/>
        <v>39.9799189127489</v>
      </c>
    </row>
    <row r="193" spans="2:15">
      <c r="C193" s="12">
        <f>C179*C185*1.05</f>
        <v>16148.919574338721</v>
      </c>
      <c r="D193" s="12">
        <f t="shared" ref="D193:N193" si="129">D179*D185*1.05</f>
        <v>13268.491047410716</v>
      </c>
      <c r="E193" s="12">
        <f t="shared" si="129"/>
        <v>10180.562606295236</v>
      </c>
      <c r="F193" s="12">
        <f t="shared" si="129"/>
        <v>6440.0978912901783</v>
      </c>
      <c r="G193" s="12">
        <f t="shared" si="129"/>
        <v>4219.7088982431351</v>
      </c>
      <c r="H193" s="12">
        <f t="shared" si="129"/>
        <v>3297.4906204888848</v>
      </c>
      <c r="I193" s="12">
        <f t="shared" si="129"/>
        <v>3860.4481496418775</v>
      </c>
      <c r="J193" s="12">
        <f t="shared" si="129"/>
        <v>5735.7999114723134</v>
      </c>
      <c r="K193" s="12">
        <f t="shared" si="129"/>
        <v>8517.4959418850613</v>
      </c>
      <c r="L193" s="12">
        <f t="shared" si="129"/>
        <v>10804.096372572829</v>
      </c>
      <c r="M193" s="12">
        <f t="shared" si="129"/>
        <v>14686.260897379299</v>
      </c>
      <c r="N193" s="12">
        <f t="shared" si="129"/>
        <v>16303.800663002503</v>
      </c>
      <c r="O193" s="12">
        <f>SUM(C193:N193)/86.01</f>
        <v>1319.1858222767207</v>
      </c>
    </row>
    <row r="194" spans="2:15">
      <c r="C194" s="12"/>
      <c r="D194" s="12"/>
      <c r="E194" s="12"/>
      <c r="F194" s="12"/>
      <c r="G194" s="12"/>
      <c r="H194" s="12"/>
      <c r="I194" s="12"/>
      <c r="J194" s="12"/>
      <c r="K194" s="12"/>
      <c r="L194" s="12"/>
      <c r="M194" s="12"/>
      <c r="N194" s="12"/>
      <c r="O194" s="12"/>
    </row>
    <row r="195" spans="2:15">
      <c r="B195" s="21" t="s">
        <v>19</v>
      </c>
      <c r="C195" s="22">
        <f>PI()/180</f>
        <v>1.7453292519943295E-2</v>
      </c>
      <c r="D195" s="22">
        <f t="shared" ref="D195:N195" si="130">PI()/180</f>
        <v>1.7453292519943295E-2</v>
      </c>
      <c r="E195" s="22">
        <f t="shared" si="130"/>
        <v>1.7453292519943295E-2</v>
      </c>
      <c r="F195" s="22">
        <f t="shared" si="130"/>
        <v>1.7453292519943295E-2</v>
      </c>
      <c r="G195" s="22">
        <f t="shared" si="130"/>
        <v>1.7453292519943295E-2</v>
      </c>
      <c r="H195" s="22">
        <f t="shared" si="130"/>
        <v>1.7453292519943295E-2</v>
      </c>
      <c r="I195" s="22">
        <f t="shared" si="130"/>
        <v>1.7453292519943295E-2</v>
      </c>
      <c r="J195" s="22">
        <f t="shared" si="130"/>
        <v>1.7453292519943295E-2</v>
      </c>
      <c r="K195" s="22">
        <f t="shared" si="130"/>
        <v>1.7453292519943295E-2</v>
      </c>
      <c r="L195" s="22">
        <f t="shared" si="130"/>
        <v>1.7453292519943295E-2</v>
      </c>
      <c r="M195" s="22">
        <f t="shared" si="130"/>
        <v>1.7453292519943295E-2</v>
      </c>
      <c r="N195" s="24">
        <f t="shared" si="130"/>
        <v>1.7453292519943295E-2</v>
      </c>
    </row>
    <row r="196" spans="2:15">
      <c r="B196" s="94" t="s">
        <v>29</v>
      </c>
      <c r="C196" s="5">
        <f>'Ángulo de Inclinación'!$AN$37</f>
        <v>13</v>
      </c>
      <c r="D196" s="5">
        <f>'Ángulo de Inclinación'!$AN$37</f>
        <v>13</v>
      </c>
      <c r="E196" s="5">
        <f>'Ángulo de Inclinación'!$AN$37</f>
        <v>13</v>
      </c>
      <c r="F196" s="5">
        <f>'Ángulo de Inclinación'!$AN$37</f>
        <v>13</v>
      </c>
      <c r="G196" s="5">
        <f>'Ángulo de Inclinación'!$AN$37</f>
        <v>13</v>
      </c>
      <c r="H196" s="5">
        <f>'Ángulo de Inclinación'!$AN$37</f>
        <v>13</v>
      </c>
      <c r="I196" s="5">
        <f>'Ángulo de Inclinación'!$AN$37</f>
        <v>13</v>
      </c>
      <c r="J196" s="5">
        <f>'Ángulo de Inclinación'!$AN$37</f>
        <v>13</v>
      </c>
      <c r="K196" s="5">
        <f>'Ángulo de Inclinación'!$AN$37</f>
        <v>13</v>
      </c>
      <c r="L196" s="5">
        <f>'Ángulo de Inclinación'!$AN$37</f>
        <v>13</v>
      </c>
      <c r="M196" s="5">
        <f>'Ángulo de Inclinación'!$AN$37</f>
        <v>13</v>
      </c>
      <c r="N196" s="101">
        <f>'Ángulo de Inclinación'!$AN$37</f>
        <v>13</v>
      </c>
    </row>
    <row r="197" spans="2:15">
      <c r="B197" s="94" t="s">
        <v>30</v>
      </c>
      <c r="C197" s="5">
        <f t="shared" ref="C197:N197" si="131">C196*C195</f>
        <v>0.22689280275926285</v>
      </c>
      <c r="D197" s="5">
        <f t="shared" si="131"/>
        <v>0.22689280275926285</v>
      </c>
      <c r="E197" s="5">
        <f t="shared" si="131"/>
        <v>0.22689280275926285</v>
      </c>
      <c r="F197" s="5">
        <f t="shared" si="131"/>
        <v>0.22689280275926285</v>
      </c>
      <c r="G197" s="5">
        <f t="shared" si="131"/>
        <v>0.22689280275926285</v>
      </c>
      <c r="H197" s="5">
        <f t="shared" si="131"/>
        <v>0.22689280275926285</v>
      </c>
      <c r="I197" s="5">
        <f t="shared" si="131"/>
        <v>0.22689280275926285</v>
      </c>
      <c r="J197" s="5">
        <f t="shared" si="131"/>
        <v>0.22689280275926285</v>
      </c>
      <c r="K197" s="5">
        <f t="shared" si="131"/>
        <v>0.22689280275926285</v>
      </c>
      <c r="L197" s="5">
        <f t="shared" si="131"/>
        <v>0.22689280275926285</v>
      </c>
      <c r="M197" s="5">
        <f t="shared" si="131"/>
        <v>0.22689280275926285</v>
      </c>
      <c r="N197" s="101">
        <f t="shared" si="131"/>
        <v>0.22689280275926285</v>
      </c>
    </row>
    <row r="198" spans="2:15">
      <c r="B198" s="94" t="s">
        <v>31</v>
      </c>
      <c r="C198" s="5">
        <f t="shared" ref="C198:N198" si="132">SIN(C197)</f>
        <v>0.224951054343865</v>
      </c>
      <c r="D198" s="5">
        <f t="shared" si="132"/>
        <v>0.224951054343865</v>
      </c>
      <c r="E198" s="5">
        <f t="shared" si="132"/>
        <v>0.224951054343865</v>
      </c>
      <c r="F198" s="5">
        <f t="shared" si="132"/>
        <v>0.224951054343865</v>
      </c>
      <c r="G198" s="5">
        <f t="shared" si="132"/>
        <v>0.224951054343865</v>
      </c>
      <c r="H198" s="5">
        <f t="shared" si="132"/>
        <v>0.224951054343865</v>
      </c>
      <c r="I198" s="5">
        <f t="shared" si="132"/>
        <v>0.224951054343865</v>
      </c>
      <c r="J198" s="5">
        <f t="shared" si="132"/>
        <v>0.224951054343865</v>
      </c>
      <c r="K198" s="5">
        <f t="shared" si="132"/>
        <v>0.224951054343865</v>
      </c>
      <c r="L198" s="5">
        <f t="shared" si="132"/>
        <v>0.224951054343865</v>
      </c>
      <c r="M198" s="5">
        <f t="shared" si="132"/>
        <v>0.224951054343865</v>
      </c>
      <c r="N198" s="101">
        <f t="shared" si="132"/>
        <v>0.224951054343865</v>
      </c>
    </row>
    <row r="199" spans="2:15">
      <c r="B199" s="94" t="s">
        <v>32</v>
      </c>
      <c r="C199" s="5">
        <f>COS(C197)</f>
        <v>0.97437006478523525</v>
      </c>
      <c r="D199" s="5">
        <f t="shared" ref="D199:N199" si="133">COS(D197)</f>
        <v>0.97437006478523525</v>
      </c>
      <c r="E199" s="5">
        <f t="shared" si="133"/>
        <v>0.97437006478523525</v>
      </c>
      <c r="F199" s="5">
        <f t="shared" si="133"/>
        <v>0.97437006478523525</v>
      </c>
      <c r="G199" s="5">
        <f t="shared" si="133"/>
        <v>0.97437006478523525</v>
      </c>
      <c r="H199" s="5">
        <f t="shared" si="133"/>
        <v>0.97437006478523525</v>
      </c>
      <c r="I199" s="5">
        <f t="shared" si="133"/>
        <v>0.97437006478523525</v>
      </c>
      <c r="J199" s="5">
        <f t="shared" si="133"/>
        <v>0.97437006478523525</v>
      </c>
      <c r="K199" s="5">
        <f t="shared" si="133"/>
        <v>0.97437006478523525</v>
      </c>
      <c r="L199" s="5">
        <f t="shared" si="133"/>
        <v>0.97437006478523525</v>
      </c>
      <c r="M199" s="5">
        <f t="shared" si="133"/>
        <v>0.97437006478523525</v>
      </c>
      <c r="N199" s="101">
        <f t="shared" si="133"/>
        <v>0.97437006478523525</v>
      </c>
    </row>
    <row r="200" spans="2:15">
      <c r="B200" s="94" t="s">
        <v>33</v>
      </c>
      <c r="C200" s="5">
        <f>'Ángulo de Inclinación'!$S$21</f>
        <v>-33</v>
      </c>
      <c r="D200" s="5">
        <f t="shared" ref="D200:N200" si="134">C200</f>
        <v>-33</v>
      </c>
      <c r="E200" s="5">
        <f t="shared" si="134"/>
        <v>-33</v>
      </c>
      <c r="F200" s="5">
        <f t="shared" si="134"/>
        <v>-33</v>
      </c>
      <c r="G200" s="5">
        <f t="shared" si="134"/>
        <v>-33</v>
      </c>
      <c r="H200" s="5">
        <f t="shared" si="134"/>
        <v>-33</v>
      </c>
      <c r="I200" s="5">
        <f t="shared" si="134"/>
        <v>-33</v>
      </c>
      <c r="J200" s="5">
        <f t="shared" si="134"/>
        <v>-33</v>
      </c>
      <c r="K200" s="5">
        <f t="shared" si="134"/>
        <v>-33</v>
      </c>
      <c r="L200" s="5">
        <f t="shared" si="134"/>
        <v>-33</v>
      </c>
      <c r="M200" s="5">
        <f t="shared" si="134"/>
        <v>-33</v>
      </c>
      <c r="N200" s="101">
        <f t="shared" si="134"/>
        <v>-33</v>
      </c>
    </row>
    <row r="201" spans="2:15">
      <c r="B201" s="94" t="s">
        <v>34</v>
      </c>
      <c r="C201" s="5">
        <f t="shared" ref="C201:N201" si="135">C200*C195</f>
        <v>-0.57595865315812877</v>
      </c>
      <c r="D201" s="5">
        <f t="shared" si="135"/>
        <v>-0.57595865315812877</v>
      </c>
      <c r="E201" s="5">
        <f t="shared" si="135"/>
        <v>-0.57595865315812877</v>
      </c>
      <c r="F201" s="5">
        <f t="shared" si="135"/>
        <v>-0.57595865315812877</v>
      </c>
      <c r="G201" s="5">
        <f t="shared" si="135"/>
        <v>-0.57595865315812877</v>
      </c>
      <c r="H201" s="5">
        <f t="shared" si="135"/>
        <v>-0.57595865315812877</v>
      </c>
      <c r="I201" s="5">
        <f t="shared" si="135"/>
        <v>-0.57595865315812877</v>
      </c>
      <c r="J201" s="5">
        <f t="shared" si="135"/>
        <v>-0.57595865315812877</v>
      </c>
      <c r="K201" s="5">
        <f t="shared" si="135"/>
        <v>-0.57595865315812877</v>
      </c>
      <c r="L201" s="5">
        <f t="shared" si="135"/>
        <v>-0.57595865315812877</v>
      </c>
      <c r="M201" s="5">
        <f t="shared" si="135"/>
        <v>-0.57595865315812877</v>
      </c>
      <c r="N201" s="101">
        <f t="shared" si="135"/>
        <v>-0.57595865315812877</v>
      </c>
    </row>
    <row r="202" spans="2:15">
      <c r="B202" s="94" t="s">
        <v>20</v>
      </c>
      <c r="C202" s="5">
        <f t="shared" ref="C202:N202" si="136">SIN(C201)</f>
        <v>-0.54463903501502708</v>
      </c>
      <c r="D202" s="5">
        <f t="shared" si="136"/>
        <v>-0.54463903501502708</v>
      </c>
      <c r="E202" s="5">
        <f t="shared" si="136"/>
        <v>-0.54463903501502708</v>
      </c>
      <c r="F202" s="5">
        <f t="shared" si="136"/>
        <v>-0.54463903501502708</v>
      </c>
      <c r="G202" s="5">
        <f t="shared" si="136"/>
        <v>-0.54463903501502708</v>
      </c>
      <c r="H202" s="5">
        <f t="shared" si="136"/>
        <v>-0.54463903501502708</v>
      </c>
      <c r="I202" s="5">
        <f t="shared" si="136"/>
        <v>-0.54463903501502708</v>
      </c>
      <c r="J202" s="5">
        <f t="shared" si="136"/>
        <v>-0.54463903501502708</v>
      </c>
      <c r="K202" s="5">
        <f t="shared" si="136"/>
        <v>-0.54463903501502708</v>
      </c>
      <c r="L202" s="5">
        <f t="shared" si="136"/>
        <v>-0.54463903501502708</v>
      </c>
      <c r="M202" s="5">
        <f t="shared" si="136"/>
        <v>-0.54463903501502708</v>
      </c>
      <c r="N202" s="101">
        <f t="shared" si="136"/>
        <v>-0.54463903501502708</v>
      </c>
    </row>
    <row r="203" spans="2:15">
      <c r="B203" s="94" t="s">
        <v>21</v>
      </c>
      <c r="C203" s="5">
        <f>COS(C201)</f>
        <v>0.83867056794542405</v>
      </c>
      <c r="D203" s="5">
        <f t="shared" ref="D203:N203" si="137">COS(D201)</f>
        <v>0.83867056794542405</v>
      </c>
      <c r="E203" s="5">
        <f t="shared" si="137"/>
        <v>0.83867056794542405</v>
      </c>
      <c r="F203" s="5">
        <f t="shared" si="137"/>
        <v>0.83867056794542405</v>
      </c>
      <c r="G203" s="5">
        <f t="shared" si="137"/>
        <v>0.83867056794542405</v>
      </c>
      <c r="H203" s="5">
        <f t="shared" si="137"/>
        <v>0.83867056794542405</v>
      </c>
      <c r="I203" s="5">
        <f t="shared" si="137"/>
        <v>0.83867056794542405</v>
      </c>
      <c r="J203" s="5">
        <f t="shared" si="137"/>
        <v>0.83867056794542405</v>
      </c>
      <c r="K203" s="5">
        <f t="shared" si="137"/>
        <v>0.83867056794542405</v>
      </c>
      <c r="L203" s="5">
        <f t="shared" si="137"/>
        <v>0.83867056794542405</v>
      </c>
      <c r="M203" s="5">
        <f t="shared" si="137"/>
        <v>0.83867056794542405</v>
      </c>
      <c r="N203" s="101">
        <f t="shared" si="137"/>
        <v>0.83867056794542405</v>
      </c>
    </row>
    <row r="204" spans="2:15">
      <c r="B204" s="94" t="s">
        <v>22</v>
      </c>
      <c r="C204" s="5">
        <f>TAN(C201)</f>
        <v>-0.64940759319751062</v>
      </c>
      <c r="D204" s="5">
        <f t="shared" ref="D204:N204" si="138">TAN(D201)</f>
        <v>-0.64940759319751062</v>
      </c>
      <c r="E204" s="5">
        <f t="shared" si="138"/>
        <v>-0.64940759319751062</v>
      </c>
      <c r="F204" s="5">
        <f t="shared" si="138"/>
        <v>-0.64940759319751062</v>
      </c>
      <c r="G204" s="5">
        <f t="shared" si="138"/>
        <v>-0.64940759319751062</v>
      </c>
      <c r="H204" s="5">
        <f t="shared" si="138"/>
        <v>-0.64940759319751062</v>
      </c>
      <c r="I204" s="5">
        <f t="shared" si="138"/>
        <v>-0.64940759319751062</v>
      </c>
      <c r="J204" s="5">
        <f t="shared" si="138"/>
        <v>-0.64940759319751062</v>
      </c>
      <c r="K204" s="5">
        <f t="shared" si="138"/>
        <v>-0.64940759319751062</v>
      </c>
      <c r="L204" s="5">
        <f t="shared" si="138"/>
        <v>-0.64940759319751062</v>
      </c>
      <c r="M204" s="5">
        <f t="shared" si="138"/>
        <v>-0.64940759319751062</v>
      </c>
      <c r="N204" s="101">
        <f t="shared" si="138"/>
        <v>-0.64940759319751062</v>
      </c>
    </row>
    <row r="205" spans="2:15">
      <c r="B205" s="94" t="s">
        <v>35</v>
      </c>
      <c r="C205" s="5">
        <f>(C200-C196)*C195</f>
        <v>-0.8028514559173916</v>
      </c>
      <c r="D205" s="5">
        <f t="shared" ref="D205:N205" si="139">(D200-D196)*D195</f>
        <v>-0.8028514559173916</v>
      </c>
      <c r="E205" s="5">
        <f t="shared" si="139"/>
        <v>-0.8028514559173916</v>
      </c>
      <c r="F205" s="5">
        <f t="shared" si="139"/>
        <v>-0.8028514559173916</v>
      </c>
      <c r="G205" s="5">
        <f t="shared" si="139"/>
        <v>-0.8028514559173916</v>
      </c>
      <c r="H205" s="5">
        <f t="shared" si="139"/>
        <v>-0.8028514559173916</v>
      </c>
      <c r="I205" s="5">
        <f t="shared" si="139"/>
        <v>-0.8028514559173916</v>
      </c>
      <c r="J205" s="5">
        <f t="shared" si="139"/>
        <v>-0.8028514559173916</v>
      </c>
      <c r="K205" s="5">
        <f t="shared" si="139"/>
        <v>-0.8028514559173916</v>
      </c>
      <c r="L205" s="5">
        <f t="shared" si="139"/>
        <v>-0.8028514559173916</v>
      </c>
      <c r="M205" s="5">
        <f t="shared" si="139"/>
        <v>-0.8028514559173916</v>
      </c>
      <c r="N205" s="101">
        <f t="shared" si="139"/>
        <v>-0.8028514559173916</v>
      </c>
    </row>
    <row r="206" spans="2:15">
      <c r="B206" s="23" t="s">
        <v>23</v>
      </c>
      <c r="C206" s="5">
        <f t="shared" ref="C206:N206" si="140">SIN(C205)</f>
        <v>-0.71933980033865108</v>
      </c>
      <c r="D206" s="5">
        <f t="shared" si="140"/>
        <v>-0.71933980033865108</v>
      </c>
      <c r="E206" s="5">
        <f t="shared" si="140"/>
        <v>-0.71933980033865108</v>
      </c>
      <c r="F206" s="5">
        <f t="shared" si="140"/>
        <v>-0.71933980033865108</v>
      </c>
      <c r="G206" s="5">
        <f t="shared" si="140"/>
        <v>-0.71933980033865108</v>
      </c>
      <c r="H206" s="5">
        <f t="shared" si="140"/>
        <v>-0.71933980033865108</v>
      </c>
      <c r="I206" s="5">
        <f t="shared" si="140"/>
        <v>-0.71933980033865108</v>
      </c>
      <c r="J206" s="5">
        <f t="shared" si="140"/>
        <v>-0.71933980033865108</v>
      </c>
      <c r="K206" s="5">
        <f t="shared" si="140"/>
        <v>-0.71933980033865108</v>
      </c>
      <c r="L206" s="5">
        <f t="shared" si="140"/>
        <v>-0.71933980033865108</v>
      </c>
      <c r="M206" s="5">
        <f t="shared" si="140"/>
        <v>-0.71933980033865108</v>
      </c>
      <c r="N206" s="101">
        <f t="shared" si="140"/>
        <v>-0.71933980033865108</v>
      </c>
    </row>
    <row r="207" spans="2:15">
      <c r="B207" s="23" t="s">
        <v>24</v>
      </c>
      <c r="C207" s="5">
        <f>COS(C205)</f>
        <v>0.69465837045899725</v>
      </c>
      <c r="D207" s="5">
        <f t="shared" ref="D207:N207" si="141">COS(D205)</f>
        <v>0.69465837045899725</v>
      </c>
      <c r="E207" s="5">
        <f t="shared" si="141"/>
        <v>0.69465837045899725</v>
      </c>
      <c r="F207" s="5">
        <f t="shared" si="141"/>
        <v>0.69465837045899725</v>
      </c>
      <c r="G207" s="5">
        <f t="shared" si="141"/>
        <v>0.69465837045899725</v>
      </c>
      <c r="H207" s="5">
        <f t="shared" si="141"/>
        <v>0.69465837045899725</v>
      </c>
      <c r="I207" s="5">
        <f t="shared" si="141"/>
        <v>0.69465837045899725</v>
      </c>
      <c r="J207" s="5">
        <f t="shared" si="141"/>
        <v>0.69465837045899725</v>
      </c>
      <c r="K207" s="5">
        <f t="shared" si="141"/>
        <v>0.69465837045899725</v>
      </c>
      <c r="L207" s="5">
        <f t="shared" si="141"/>
        <v>0.69465837045899725</v>
      </c>
      <c r="M207" s="5">
        <f t="shared" si="141"/>
        <v>0.69465837045899725</v>
      </c>
      <c r="N207" s="101">
        <f t="shared" si="141"/>
        <v>0.69465837045899725</v>
      </c>
    </row>
    <row r="208" spans="2:15">
      <c r="B208" s="23" t="s">
        <v>25</v>
      </c>
      <c r="C208" s="5">
        <f>TAN(C205)</f>
        <v>-1.0355303137905696</v>
      </c>
      <c r="D208" s="5">
        <f t="shared" ref="D208:N208" si="142">TAN(D205)</f>
        <v>-1.0355303137905696</v>
      </c>
      <c r="E208" s="5">
        <f t="shared" si="142"/>
        <v>-1.0355303137905696</v>
      </c>
      <c r="F208" s="5">
        <f t="shared" si="142"/>
        <v>-1.0355303137905696</v>
      </c>
      <c r="G208" s="5">
        <f t="shared" si="142"/>
        <v>-1.0355303137905696</v>
      </c>
      <c r="H208" s="5">
        <f t="shared" si="142"/>
        <v>-1.0355303137905696</v>
      </c>
      <c r="I208" s="5">
        <f t="shared" si="142"/>
        <v>-1.0355303137905696</v>
      </c>
      <c r="J208" s="5">
        <f t="shared" si="142"/>
        <v>-1.0355303137905696</v>
      </c>
      <c r="K208" s="5">
        <f t="shared" si="142"/>
        <v>-1.0355303137905696</v>
      </c>
      <c r="L208" s="5">
        <f t="shared" si="142"/>
        <v>-1.0355303137905696</v>
      </c>
      <c r="M208" s="5">
        <f t="shared" si="142"/>
        <v>-1.0355303137905696</v>
      </c>
      <c r="N208" s="101">
        <f t="shared" si="142"/>
        <v>-1.0355303137905696</v>
      </c>
    </row>
    <row r="209" spans="2:14">
      <c r="B209" s="95" t="s">
        <v>36</v>
      </c>
      <c r="C209" s="5">
        <f>COS(37.5*C195)</f>
        <v>0.79335334029123517</v>
      </c>
      <c r="D209" s="5">
        <f t="shared" ref="D209:N209" si="143">COS(37.5*D195)</f>
        <v>0.79335334029123517</v>
      </c>
      <c r="E209" s="5">
        <f t="shared" si="143"/>
        <v>0.79335334029123517</v>
      </c>
      <c r="F209" s="5">
        <f t="shared" si="143"/>
        <v>0.79335334029123517</v>
      </c>
      <c r="G209" s="5">
        <f t="shared" si="143"/>
        <v>0.79335334029123517</v>
      </c>
      <c r="H209" s="5">
        <f t="shared" si="143"/>
        <v>0.79335334029123517</v>
      </c>
      <c r="I209" s="5">
        <f t="shared" si="143"/>
        <v>0.79335334029123517</v>
      </c>
      <c r="J209" s="5">
        <f t="shared" si="143"/>
        <v>0.79335334029123517</v>
      </c>
      <c r="K209" s="5">
        <f t="shared" si="143"/>
        <v>0.79335334029123517</v>
      </c>
      <c r="L209" s="5">
        <f t="shared" si="143"/>
        <v>0.79335334029123517</v>
      </c>
      <c r="M209" s="5">
        <f t="shared" si="143"/>
        <v>0.79335334029123517</v>
      </c>
      <c r="N209" s="101">
        <f t="shared" si="143"/>
        <v>0.79335334029123517</v>
      </c>
    </row>
    <row r="210" spans="2:14">
      <c r="B210" s="95" t="s">
        <v>37</v>
      </c>
      <c r="C210" s="5">
        <f>23.45*C195</f>
        <v>0.40927970959267029</v>
      </c>
      <c r="D210" s="5">
        <f t="shared" ref="D210:N210" si="144">23.45*D195</f>
        <v>0.40927970959267029</v>
      </c>
      <c r="E210" s="5">
        <f t="shared" si="144"/>
        <v>0.40927970959267029</v>
      </c>
      <c r="F210" s="5">
        <f t="shared" si="144"/>
        <v>0.40927970959267029</v>
      </c>
      <c r="G210" s="5">
        <f t="shared" si="144"/>
        <v>0.40927970959267029</v>
      </c>
      <c r="H210" s="5">
        <f t="shared" si="144"/>
        <v>0.40927970959267029</v>
      </c>
      <c r="I210" s="5">
        <f t="shared" si="144"/>
        <v>0.40927970959267029</v>
      </c>
      <c r="J210" s="5">
        <f t="shared" si="144"/>
        <v>0.40927970959267029</v>
      </c>
      <c r="K210" s="5">
        <f t="shared" si="144"/>
        <v>0.40927970959267029</v>
      </c>
      <c r="L210" s="5">
        <f t="shared" si="144"/>
        <v>0.40927970959267029</v>
      </c>
      <c r="M210" s="5">
        <f t="shared" si="144"/>
        <v>0.40927970959267029</v>
      </c>
      <c r="N210" s="101">
        <f t="shared" si="144"/>
        <v>0.40927970959267029</v>
      </c>
    </row>
    <row r="211" spans="2:14">
      <c r="B211" s="8" t="s">
        <v>14</v>
      </c>
      <c r="C211" s="1">
        <v>31</v>
      </c>
      <c r="D211" s="1">
        <v>28</v>
      </c>
      <c r="E211" s="1">
        <v>31</v>
      </c>
      <c r="F211" s="1">
        <v>30</v>
      </c>
      <c r="G211" s="1">
        <v>31</v>
      </c>
      <c r="H211" s="1">
        <v>30</v>
      </c>
      <c r="I211" s="1">
        <v>31</v>
      </c>
      <c r="J211" s="1">
        <v>31</v>
      </c>
      <c r="K211" s="1">
        <v>30</v>
      </c>
      <c r="L211" s="1">
        <v>31</v>
      </c>
      <c r="M211" s="1">
        <v>30</v>
      </c>
      <c r="N211" s="2">
        <v>31</v>
      </c>
    </row>
    <row r="212" spans="2:14">
      <c r="B212" s="95" t="s">
        <v>26</v>
      </c>
      <c r="C212" s="5">
        <f>1353*3.6</f>
        <v>4870.8</v>
      </c>
      <c r="D212" s="5">
        <f t="shared" ref="D212:N212" si="145">1353*3.6</f>
        <v>4870.8</v>
      </c>
      <c r="E212" s="5">
        <f t="shared" si="145"/>
        <v>4870.8</v>
      </c>
      <c r="F212" s="5">
        <f t="shared" si="145"/>
        <v>4870.8</v>
      </c>
      <c r="G212" s="5">
        <f t="shared" si="145"/>
        <v>4870.8</v>
      </c>
      <c r="H212" s="5">
        <f t="shared" si="145"/>
        <v>4870.8</v>
      </c>
      <c r="I212" s="5">
        <f t="shared" si="145"/>
        <v>4870.8</v>
      </c>
      <c r="J212" s="5">
        <f t="shared" si="145"/>
        <v>4870.8</v>
      </c>
      <c r="K212" s="5">
        <f t="shared" si="145"/>
        <v>4870.8</v>
      </c>
      <c r="L212" s="5">
        <f t="shared" si="145"/>
        <v>4870.8</v>
      </c>
      <c r="M212" s="5">
        <f t="shared" si="145"/>
        <v>4870.8</v>
      </c>
      <c r="N212" s="101">
        <f t="shared" si="145"/>
        <v>4870.8</v>
      </c>
    </row>
    <row r="213" spans="2:14">
      <c r="B213" s="23" t="s">
        <v>27</v>
      </c>
      <c r="C213" s="5">
        <f t="shared" ref="C213:N213" si="146">(24*C212)/PI()</f>
        <v>37210.171046976189</v>
      </c>
      <c r="D213" s="5">
        <f t="shared" si="146"/>
        <v>37210.171046976189</v>
      </c>
      <c r="E213" s="5">
        <f t="shared" si="146"/>
        <v>37210.171046976189</v>
      </c>
      <c r="F213" s="5">
        <f t="shared" si="146"/>
        <v>37210.171046976189</v>
      </c>
      <c r="G213" s="5">
        <f t="shared" si="146"/>
        <v>37210.171046976189</v>
      </c>
      <c r="H213" s="5">
        <f t="shared" si="146"/>
        <v>37210.171046976189</v>
      </c>
      <c r="I213" s="5">
        <f t="shared" si="146"/>
        <v>37210.171046976189</v>
      </c>
      <c r="J213" s="5">
        <f t="shared" si="146"/>
        <v>37210.171046976189</v>
      </c>
      <c r="K213" s="5">
        <f t="shared" si="146"/>
        <v>37210.171046976189</v>
      </c>
      <c r="L213" s="5">
        <f t="shared" si="146"/>
        <v>37210.171046976189</v>
      </c>
      <c r="M213" s="5">
        <f t="shared" si="146"/>
        <v>37210.171046976189</v>
      </c>
      <c r="N213" s="102">
        <f t="shared" si="146"/>
        <v>37210.171046976189</v>
      </c>
    </row>
    <row r="214" spans="2:14">
      <c r="B214" s="21" t="s">
        <v>14</v>
      </c>
      <c r="C214" s="22">
        <v>15</v>
      </c>
      <c r="D214" s="22">
        <v>46</v>
      </c>
      <c r="E214" s="22">
        <v>74</v>
      </c>
      <c r="F214" s="22">
        <v>105</v>
      </c>
      <c r="G214" s="22">
        <v>135</v>
      </c>
      <c r="H214" s="22">
        <v>166</v>
      </c>
      <c r="I214" s="22">
        <v>196</v>
      </c>
      <c r="J214" s="22">
        <v>227</v>
      </c>
      <c r="K214" s="22">
        <v>258</v>
      </c>
      <c r="L214" s="22">
        <v>270</v>
      </c>
      <c r="M214" s="22">
        <v>319</v>
      </c>
      <c r="N214" s="24">
        <v>349</v>
      </c>
    </row>
    <row r="215" spans="2:14">
      <c r="B215" s="95" t="s">
        <v>38</v>
      </c>
      <c r="C215" s="5">
        <f>(360*C195)/365</f>
        <v>1.7214206321039961E-2</v>
      </c>
      <c r="D215" s="5">
        <f t="shared" ref="D215:N215" si="147">(360*D195)/365</f>
        <v>1.7214206321039961E-2</v>
      </c>
      <c r="E215" s="5">
        <f t="shared" si="147"/>
        <v>1.7214206321039961E-2</v>
      </c>
      <c r="F215" s="5">
        <f t="shared" si="147"/>
        <v>1.7214206321039961E-2</v>
      </c>
      <c r="G215" s="5">
        <f t="shared" si="147"/>
        <v>1.7214206321039961E-2</v>
      </c>
      <c r="H215" s="5">
        <f t="shared" si="147"/>
        <v>1.7214206321039961E-2</v>
      </c>
      <c r="I215" s="5">
        <f t="shared" si="147"/>
        <v>1.7214206321039961E-2</v>
      </c>
      <c r="J215" s="5">
        <f t="shared" si="147"/>
        <v>1.7214206321039961E-2</v>
      </c>
      <c r="K215" s="5">
        <f t="shared" si="147"/>
        <v>1.7214206321039961E-2</v>
      </c>
      <c r="L215" s="5">
        <f t="shared" si="147"/>
        <v>1.7214206321039961E-2</v>
      </c>
      <c r="M215" s="5">
        <f t="shared" si="147"/>
        <v>1.7214206321039961E-2</v>
      </c>
      <c r="N215" s="101">
        <f t="shared" si="147"/>
        <v>1.7214206321039961E-2</v>
      </c>
    </row>
    <row r="216" spans="2:14">
      <c r="B216" s="95" t="s">
        <v>39</v>
      </c>
      <c r="C216" s="5">
        <f t="shared" ref="C216:N216" si="148">C210*SIN(C215*(284+C214))</f>
        <v>-0.37122234990040354</v>
      </c>
      <c r="D216" s="5">
        <f t="shared" si="148"/>
        <v>-0.23193953024048489</v>
      </c>
      <c r="E216" s="5">
        <f t="shared" si="148"/>
        <v>-4.9198713707110125E-2</v>
      </c>
      <c r="F216" s="5">
        <f t="shared" si="148"/>
        <v>0.16432088762716554</v>
      </c>
      <c r="G216" s="5">
        <f t="shared" si="148"/>
        <v>0.32798083344699769</v>
      </c>
      <c r="H216" s="5">
        <f t="shared" si="148"/>
        <v>0.40691321620538912</v>
      </c>
      <c r="I216" s="5">
        <f t="shared" si="148"/>
        <v>0.37554836000057829</v>
      </c>
      <c r="J216" s="5">
        <f t="shared" si="148"/>
        <v>0.24056857736111795</v>
      </c>
      <c r="K216" s="5">
        <f t="shared" si="148"/>
        <v>3.8691973511018649E-2</v>
      </c>
      <c r="L216" s="5">
        <f t="shared" si="148"/>
        <v>-4.5699766008172903E-2</v>
      </c>
      <c r="M216" s="5">
        <f t="shared" si="148"/>
        <v>-0.33419245656714902</v>
      </c>
      <c r="N216" s="101">
        <f t="shared" si="148"/>
        <v>-0.40727641274141724</v>
      </c>
    </row>
    <row r="217" spans="2:14">
      <c r="B217" s="23" t="s">
        <v>41</v>
      </c>
      <c r="C217" s="5">
        <f t="shared" ref="C217:N217" si="149">SIN(C216)</f>
        <v>-0.36275479176733588</v>
      </c>
      <c r="D217" s="5">
        <f t="shared" si="149"/>
        <v>-0.22986554896822295</v>
      </c>
      <c r="E217" s="5">
        <f t="shared" si="149"/>
        <v>-4.9178868417837161E-2</v>
      </c>
      <c r="F217" s="5">
        <f t="shared" si="149"/>
        <v>0.16358240425600395</v>
      </c>
      <c r="G217" s="5">
        <f t="shared" si="149"/>
        <v>0.32213215206816698</v>
      </c>
      <c r="H217" s="5">
        <f t="shared" si="149"/>
        <v>0.39577647976650848</v>
      </c>
      <c r="I217" s="5">
        <f t="shared" si="149"/>
        <v>0.36678272715173194</v>
      </c>
      <c r="J217" s="5">
        <f t="shared" si="149"/>
        <v>0.23825486875759558</v>
      </c>
      <c r="K217" s="5">
        <f t="shared" si="149"/>
        <v>3.868232014248444E-2</v>
      </c>
      <c r="L217" s="5">
        <f t="shared" si="149"/>
        <v>-4.5683860581339865E-2</v>
      </c>
      <c r="M217" s="5">
        <f t="shared" si="149"/>
        <v>-0.32800641041381234</v>
      </c>
      <c r="N217" s="101">
        <f t="shared" si="149"/>
        <v>-0.3961099940583282</v>
      </c>
    </row>
    <row r="218" spans="2:14">
      <c r="B218" s="23" t="s">
        <v>42</v>
      </c>
      <c r="C218" s="5">
        <f>COS(C216)</f>
        <v>0.93188462861549382</v>
      </c>
      <c r="D218" s="5">
        <f t="shared" ref="D218:N218" si="150">COS(D216)</f>
        <v>0.97322239462393045</v>
      </c>
      <c r="E218" s="5">
        <f t="shared" si="150"/>
        <v>0.99878998738530667</v>
      </c>
      <c r="F218" s="5">
        <f t="shared" si="150"/>
        <v>0.9865296736631014</v>
      </c>
      <c r="G218" s="5">
        <f t="shared" si="150"/>
        <v>0.94669471140591643</v>
      </c>
      <c r="H218" s="5">
        <f t="shared" si="150"/>
        <v>0.91834687240912982</v>
      </c>
      <c r="I218" s="5">
        <f t="shared" si="150"/>
        <v>0.93030663281691062</v>
      </c>
      <c r="J218" s="5">
        <f t="shared" si="150"/>
        <v>0.97120266552007617</v>
      </c>
      <c r="K218" s="5">
        <f t="shared" si="150"/>
        <v>0.99925155897221118</v>
      </c>
      <c r="L218" s="5">
        <f t="shared" si="150"/>
        <v>0.99895594741829563</v>
      </c>
      <c r="M218" s="5">
        <f t="shared" si="150"/>
        <v>0.94467549705041343</v>
      </c>
      <c r="N218" s="101">
        <f t="shared" si="150"/>
        <v>0.91820306719543865</v>
      </c>
    </row>
    <row r="219" spans="2:14">
      <c r="B219" s="95" t="s">
        <v>43</v>
      </c>
      <c r="C219" s="5">
        <f>-C204*TAN(C216)</f>
        <v>-0.25279493727939895</v>
      </c>
      <c r="D219" s="5">
        <f t="shared" ref="D219:N219" si="151">-D204*TAN(D216)</f>
        <v>-0.15338368058429347</v>
      </c>
      <c r="E219" s="5">
        <f t="shared" si="151"/>
        <v>-3.1975821723054777E-2</v>
      </c>
      <c r="F219" s="5">
        <f t="shared" si="151"/>
        <v>0.10768216939983473</v>
      </c>
      <c r="G219" s="5">
        <f t="shared" si="151"/>
        <v>0.22097415676427687</v>
      </c>
      <c r="H219" s="5">
        <f t="shared" si="151"/>
        <v>0.27987273533703205</v>
      </c>
      <c r="I219" s="5">
        <f t="shared" si="151"/>
        <v>0.25603546149595474</v>
      </c>
      <c r="J219" s="5">
        <f t="shared" si="151"/>
        <v>0.15931229019496604</v>
      </c>
      <c r="K219" s="5">
        <f t="shared" si="151"/>
        <v>2.5139407787228688E-2</v>
      </c>
      <c r="L219" s="5">
        <f t="shared" si="151"/>
        <v>-2.9698452694306664E-2</v>
      </c>
      <c r="M219" s="5">
        <f t="shared" si="151"/>
        <v>-0.2254846814649849</v>
      </c>
      <c r="N219" s="101">
        <f t="shared" si="151"/>
        <v>-0.2801524489224414</v>
      </c>
    </row>
    <row r="220" spans="2:14">
      <c r="B220" s="95" t="s">
        <v>43</v>
      </c>
      <c r="C220" s="5">
        <f t="shared" ref="C220:N220" si="152">ATAN(SQRT(1-C219^2)/C219)/C195</f>
        <v>-75.357035975139581</v>
      </c>
      <c r="D220" s="5">
        <f t="shared" si="152"/>
        <v>-81.176932953233873</v>
      </c>
      <c r="E220" s="5">
        <f t="shared" si="152"/>
        <v>-88.167608022467178</v>
      </c>
      <c r="F220" s="5">
        <f t="shared" si="152"/>
        <v>83.818280042663901</v>
      </c>
      <c r="G220" s="5">
        <f t="shared" si="152"/>
        <v>77.233743659218291</v>
      </c>
      <c r="H220" s="5">
        <f t="shared" si="152"/>
        <v>73.747390694945281</v>
      </c>
      <c r="I220" s="5">
        <f t="shared" si="152"/>
        <v>75.165050235055276</v>
      </c>
      <c r="J220" s="5">
        <f t="shared" si="152"/>
        <v>80.833018649384044</v>
      </c>
      <c r="K220" s="5">
        <f t="shared" si="152"/>
        <v>88.559466273378604</v>
      </c>
      <c r="L220" s="5">
        <f t="shared" si="152"/>
        <v>-88.298153769146509</v>
      </c>
      <c r="M220" s="5">
        <f t="shared" si="152"/>
        <v>-76.968619195469273</v>
      </c>
      <c r="N220" s="101">
        <f t="shared" si="152"/>
        <v>-73.730696456088936</v>
      </c>
    </row>
    <row r="221" spans="2:14">
      <c r="B221" s="95" t="s">
        <v>43</v>
      </c>
      <c r="C221" s="5">
        <f t="shared" ref="C221:N221" si="153">IF(C220&lt;0,C220+180,C220)</f>
        <v>104.64296402486042</v>
      </c>
      <c r="D221" s="5">
        <f t="shared" si="153"/>
        <v>98.823067046766127</v>
      </c>
      <c r="E221" s="5">
        <f t="shared" si="153"/>
        <v>91.832391977532822</v>
      </c>
      <c r="F221" s="5">
        <f t="shared" si="153"/>
        <v>83.818280042663901</v>
      </c>
      <c r="G221" s="5">
        <f t="shared" si="153"/>
        <v>77.233743659218291</v>
      </c>
      <c r="H221" s="5">
        <f t="shared" si="153"/>
        <v>73.747390694945281</v>
      </c>
      <c r="I221" s="5">
        <f t="shared" si="153"/>
        <v>75.165050235055276</v>
      </c>
      <c r="J221" s="5">
        <f t="shared" si="153"/>
        <v>80.833018649384044</v>
      </c>
      <c r="K221" s="5">
        <f t="shared" si="153"/>
        <v>88.559466273378604</v>
      </c>
      <c r="L221" s="5">
        <f t="shared" si="153"/>
        <v>91.701846230853491</v>
      </c>
      <c r="M221" s="5">
        <f t="shared" si="153"/>
        <v>103.03138080453073</v>
      </c>
      <c r="N221" s="101">
        <f t="shared" si="153"/>
        <v>106.26930354391106</v>
      </c>
    </row>
    <row r="222" spans="2:14">
      <c r="B222" s="95" t="s">
        <v>51</v>
      </c>
      <c r="C222" s="5">
        <f t="shared" ref="C222:N222" si="154">C221*C195</f>
        <v>1.8263642612797917</v>
      </c>
      <c r="D222" s="5">
        <f t="shared" si="154"/>
        <v>1.724787896885178</v>
      </c>
      <c r="E222" s="5">
        <f t="shared" si="154"/>
        <v>1.6027775999899743</v>
      </c>
      <c r="F222" s="5">
        <f t="shared" si="154"/>
        <v>1.4629049601031383</v>
      </c>
      <c r="G222" s="5">
        <f t="shared" si="154"/>
        <v>1.3479831204946526</v>
      </c>
      <c r="H222" s="5">
        <f t="shared" si="154"/>
        <v>1.2871347823814243</v>
      </c>
      <c r="I222" s="5">
        <f t="shared" si="154"/>
        <v>1.3118776090286524</v>
      </c>
      <c r="J222" s="5">
        <f t="shared" si="154"/>
        <v>1.4108023197577315</v>
      </c>
      <c r="K222" s="5">
        <f t="shared" si="154"/>
        <v>1.5456542702793294</v>
      </c>
      <c r="L222" s="5">
        <f t="shared" si="154"/>
        <v>1.6004991468859455</v>
      </c>
      <c r="M222" s="5">
        <f t="shared" si="154"/>
        <v>1.7982368279151453</v>
      </c>
      <c r="N222" s="101">
        <f t="shared" si="154"/>
        <v>1.8547492406425266</v>
      </c>
    </row>
    <row r="223" spans="2:14">
      <c r="B223" s="23" t="s">
        <v>44</v>
      </c>
      <c r="C223" s="5">
        <f>-C208*TAN(C216)</f>
        <v>-0.4031009545741277</v>
      </c>
      <c r="D223" s="5">
        <f t="shared" ref="D223:N223" si="155">-D208*TAN(D216)</f>
        <v>-0.24458206610081684</v>
      </c>
      <c r="E223" s="5">
        <f t="shared" si="155"/>
        <v>-5.0987905052898845E-2</v>
      </c>
      <c r="F223" s="5">
        <f t="shared" si="155"/>
        <v>0.17170749439381144</v>
      </c>
      <c r="G223" s="5">
        <f t="shared" si="155"/>
        <v>0.35236027464206637</v>
      </c>
      <c r="H223" s="5">
        <f t="shared" si="155"/>
        <v>0.44627858448343871</v>
      </c>
      <c r="I223" s="5">
        <f t="shared" si="155"/>
        <v>0.40826821946903541</v>
      </c>
      <c r="J223" s="5">
        <f t="shared" si="155"/>
        <v>0.25403568973378593</v>
      </c>
      <c r="K223" s="5">
        <f t="shared" si="155"/>
        <v>4.0086717659459918E-2</v>
      </c>
      <c r="L223" s="5">
        <f t="shared" si="155"/>
        <v>-4.7356465122631176E-2</v>
      </c>
      <c r="M223" s="5">
        <f t="shared" si="155"/>
        <v>-0.35955265290744293</v>
      </c>
      <c r="N223" s="101">
        <f t="shared" si="155"/>
        <v>-0.44672460929113189</v>
      </c>
    </row>
    <row r="224" spans="2:14">
      <c r="B224" s="23" t="s">
        <v>44</v>
      </c>
      <c r="C224" s="5">
        <f t="shared" ref="C224:N224" si="156">ATAN(SQRT(1-C223^2)/C223)/C195</f>
        <v>-66.227822192029564</v>
      </c>
      <c r="D224" s="5">
        <f t="shared" si="156"/>
        <v>-75.842863512492031</v>
      </c>
      <c r="E224" s="5">
        <f t="shared" si="156"/>
        <v>-87.077340928357543</v>
      </c>
      <c r="F224" s="5">
        <f t="shared" si="156"/>
        <v>80.11288875507465</v>
      </c>
      <c r="G224" s="5">
        <f t="shared" si="156"/>
        <v>69.368251815476995</v>
      </c>
      <c r="H224" s="5">
        <f t="shared" si="156"/>
        <v>63.494828712419107</v>
      </c>
      <c r="I224" s="5">
        <f t="shared" si="156"/>
        <v>65.903906610093998</v>
      </c>
      <c r="J224" s="5">
        <f t="shared" si="156"/>
        <v>75.28354723970871</v>
      </c>
      <c r="K224" s="5">
        <f t="shared" si="156"/>
        <v>87.70258467988269</v>
      </c>
      <c r="L224" s="5">
        <f t="shared" si="156"/>
        <v>-87.285659224572782</v>
      </c>
      <c r="M224" s="5">
        <f t="shared" si="156"/>
        <v>-68.927274544904805</v>
      </c>
      <c r="N224" s="101">
        <f t="shared" si="156"/>
        <v>-63.466268330539855</v>
      </c>
    </row>
    <row r="225" spans="2:14">
      <c r="B225" s="23" t="s">
        <v>44</v>
      </c>
      <c r="C225" s="5">
        <f t="shared" ref="C225:N225" si="157">IF(C224&lt;0,C224+180,C224)</f>
        <v>113.77217780797044</v>
      </c>
      <c r="D225" s="5">
        <f t="shared" si="157"/>
        <v>104.15713648750797</v>
      </c>
      <c r="E225" s="5">
        <f t="shared" si="157"/>
        <v>92.922659071642457</v>
      </c>
      <c r="F225" s="5">
        <f t="shared" si="157"/>
        <v>80.11288875507465</v>
      </c>
      <c r="G225" s="5">
        <f t="shared" si="157"/>
        <v>69.368251815476995</v>
      </c>
      <c r="H225" s="5">
        <f t="shared" si="157"/>
        <v>63.494828712419107</v>
      </c>
      <c r="I225" s="5">
        <f t="shared" si="157"/>
        <v>65.903906610093998</v>
      </c>
      <c r="J225" s="5">
        <f t="shared" si="157"/>
        <v>75.28354723970871</v>
      </c>
      <c r="K225" s="5">
        <f t="shared" si="157"/>
        <v>87.70258467988269</v>
      </c>
      <c r="L225" s="5">
        <f t="shared" si="157"/>
        <v>92.714340775427218</v>
      </c>
      <c r="M225" s="5">
        <f t="shared" si="157"/>
        <v>111.0727254550952</v>
      </c>
      <c r="N225" s="101">
        <f t="shared" si="157"/>
        <v>116.53373166946014</v>
      </c>
    </row>
    <row r="226" spans="2:14">
      <c r="B226" s="23" t="s">
        <v>45</v>
      </c>
      <c r="C226" s="5">
        <f t="shared" ref="C226:N226" si="158">C225*C195</f>
        <v>1.9856990999135091</v>
      </c>
      <c r="D226" s="5">
        <f t="shared" si="158"/>
        <v>1.8178849711561358</v>
      </c>
      <c r="E226" s="5">
        <f t="shared" si="158"/>
        <v>1.6218063505083382</v>
      </c>
      <c r="F226" s="5">
        <f t="shared" si="158"/>
        <v>1.3982336820599937</v>
      </c>
      <c r="G226" s="5">
        <f t="shared" si="158"/>
        <v>1.2107043905326076</v>
      </c>
      <c r="H226" s="5">
        <f t="shared" si="158"/>
        <v>1.1081938190215452</v>
      </c>
      <c r="I226" s="5">
        <f t="shared" si="158"/>
        <v>1.150240160272995</v>
      </c>
      <c r="J226" s="5">
        <f t="shared" si="158"/>
        <v>1.3139457719136058</v>
      </c>
      <c r="K226" s="5">
        <f t="shared" si="158"/>
        <v>1.53069886517309</v>
      </c>
      <c r="L226" s="5">
        <f t="shared" si="158"/>
        <v>1.6181705103472375</v>
      </c>
      <c r="M226" s="5">
        <f t="shared" si="158"/>
        <v>1.9385847683551283</v>
      </c>
      <c r="N226" s="101">
        <f t="shared" si="158"/>
        <v>2.0338973072676678</v>
      </c>
    </row>
    <row r="227" spans="2:14">
      <c r="B227" s="95" t="s">
        <v>46</v>
      </c>
      <c r="C227" s="5">
        <f>C222*C202*C217+C203*C218*SIN(C222)</f>
        <v>1.1169951152829716</v>
      </c>
      <c r="D227" s="5">
        <f t="shared" ref="D227:N227" si="159">D222*D202*D217+D203*D218*SIN(D222)</f>
        <v>1.0224871595686147</v>
      </c>
      <c r="E227" s="5">
        <f t="shared" si="159"/>
        <v>0.88015739213312139</v>
      </c>
      <c r="F227" s="5">
        <f t="shared" si="159"/>
        <v>0.69222740934784766</v>
      </c>
      <c r="G227" s="5">
        <f t="shared" si="159"/>
        <v>0.53784000745338212</v>
      </c>
      <c r="H227" s="5">
        <f t="shared" si="159"/>
        <v>0.4619627049485312</v>
      </c>
      <c r="I227" s="5">
        <f t="shared" si="159"/>
        <v>0.49214782785352545</v>
      </c>
      <c r="J227" s="5">
        <f t="shared" si="159"/>
        <v>0.6210464443360949</v>
      </c>
      <c r="K227" s="5">
        <f t="shared" si="159"/>
        <v>0.8052143214044124</v>
      </c>
      <c r="L227" s="5">
        <f t="shared" si="159"/>
        <v>0.87724776486471778</v>
      </c>
      <c r="M227" s="5">
        <f t="shared" si="159"/>
        <v>1.0931141283331729</v>
      </c>
      <c r="N227" s="101">
        <f t="shared" si="159"/>
        <v>1.1393708135012601</v>
      </c>
    </row>
    <row r="228" spans="2:14">
      <c r="B228" s="95" t="s">
        <v>46</v>
      </c>
      <c r="C228" s="5">
        <f t="shared" ref="C228:N228" si="160">C213*(1+0.033*COS(C215*C214))*C227</f>
        <v>42889.705938732419</v>
      </c>
      <c r="D228" s="5">
        <f t="shared" si="160"/>
        <v>38928.979367638691</v>
      </c>
      <c r="E228" s="5">
        <f t="shared" si="160"/>
        <v>33067.042715566859</v>
      </c>
      <c r="F228" s="5">
        <f t="shared" si="160"/>
        <v>25558.580112683896</v>
      </c>
      <c r="G228" s="5">
        <f t="shared" si="160"/>
        <v>19561.435775166199</v>
      </c>
      <c r="H228" s="5">
        <f t="shared" si="160"/>
        <v>16645.179397969245</v>
      </c>
      <c r="I228" s="5">
        <f t="shared" si="160"/>
        <v>17724.824278593533</v>
      </c>
      <c r="J228" s="5">
        <f t="shared" si="160"/>
        <v>22559.660002769513</v>
      </c>
      <c r="K228" s="5">
        <f t="shared" si="160"/>
        <v>29697.36086866746</v>
      </c>
      <c r="L228" s="5">
        <f t="shared" si="160"/>
        <v>32573.050634341915</v>
      </c>
      <c r="M228" s="5">
        <f t="shared" si="160"/>
        <v>41617.947912724703</v>
      </c>
      <c r="N228" s="101">
        <f t="shared" si="160"/>
        <v>43742.524499511528</v>
      </c>
    </row>
    <row r="229" spans="2:14">
      <c r="B229" s="95" t="s">
        <v>52</v>
      </c>
      <c r="C229" s="5">
        <f>VLOOKUP('Ángulo de Inclinación'!$P$24,$A$3:$O$35,3,FALSE)*86.01</f>
        <v>15739.830000000002</v>
      </c>
      <c r="D229" s="5">
        <f>VLOOKUP('Ángulo de Inclinación'!$P$24,$A$3:$O$35,4,FALSE)*86.01</f>
        <v>13417.560000000001</v>
      </c>
      <c r="E229" s="5">
        <f>VLOOKUP('Ángulo de Inclinación'!$P$24,$A$3:$O$35,5,FALSE)*86.01</f>
        <v>10837.26</v>
      </c>
      <c r="F229" s="5">
        <f>VLOOKUP('Ángulo de Inclinación'!$P$24,$A$3:$O$35,6,FALSE)*86.01</f>
        <v>7224.84</v>
      </c>
      <c r="G229" s="5">
        <f>VLOOKUP('Ángulo de Inclinación'!$P$24,$A$3:$O$35,7,FALSE)*86.01</f>
        <v>4902.5700000000006</v>
      </c>
      <c r="H229" s="5">
        <f>VLOOKUP('Ángulo de Inclinación'!$P$24,$A$3:$O$35,8,FALSE)*86.01</f>
        <v>3870.4500000000003</v>
      </c>
      <c r="I229" s="5">
        <f>VLOOKUP('Ángulo de Inclinación'!$P$24,$A$3:$O$35,9,FALSE)*86.01</f>
        <v>4644.54</v>
      </c>
      <c r="J229" s="5">
        <f>VLOOKUP('Ángulo de Inclinación'!$P$24,$A$3:$O$35,10,FALSE)*86.01</f>
        <v>6708.7800000000007</v>
      </c>
      <c r="K229" s="5">
        <f>VLOOKUP('Ángulo de Inclinación'!$P$24,$A$3:$O$35,11,FALSE)*86.01</f>
        <v>9289.08</v>
      </c>
      <c r="L229" s="5">
        <f>VLOOKUP('Ángulo de Inclinación'!$P$24,$A$3:$O$35,12,FALSE)*86.01</f>
        <v>11611.35</v>
      </c>
      <c r="M229" s="5">
        <f>VLOOKUP('Ángulo de Inclinación'!$P$24,$A$3:$O$35,13,FALSE)*86.01</f>
        <v>14449.68</v>
      </c>
      <c r="N229" s="101">
        <f>VLOOKUP('Ángulo de Inclinación'!$P$24,$A$3:$O$35,14,FALSE)*86.01</f>
        <v>15739.830000000002</v>
      </c>
    </row>
    <row r="230" spans="2:14">
      <c r="B230" s="95" t="s">
        <v>47</v>
      </c>
      <c r="C230" s="5">
        <f t="shared" ref="C230:N230" si="161">C229/C228</f>
        <v>0.36698386373840414</v>
      </c>
      <c r="D230" s="5">
        <f t="shared" si="161"/>
        <v>0.34466765422455176</v>
      </c>
      <c r="E230" s="5">
        <f t="shared" si="161"/>
        <v>0.32773599058189079</v>
      </c>
      <c r="F230" s="5">
        <f t="shared" si="161"/>
        <v>0.28267767490004447</v>
      </c>
      <c r="G230" s="5">
        <f t="shared" si="161"/>
        <v>0.25062424130563837</v>
      </c>
      <c r="H230" s="5">
        <f t="shared" si="161"/>
        <v>0.23252678192655618</v>
      </c>
      <c r="I230" s="5">
        <f t="shared" si="161"/>
        <v>0.26203588407977974</v>
      </c>
      <c r="J230" s="5">
        <f t="shared" si="161"/>
        <v>0.29737948174646267</v>
      </c>
      <c r="K230" s="5">
        <f t="shared" si="161"/>
        <v>0.31279143089783951</v>
      </c>
      <c r="L230" s="5">
        <f t="shared" si="161"/>
        <v>0.35647106346735918</v>
      </c>
      <c r="M230" s="5">
        <f t="shared" si="161"/>
        <v>0.34719828162363586</v>
      </c>
      <c r="N230" s="101">
        <f t="shared" si="161"/>
        <v>0.35982902633284847</v>
      </c>
    </row>
    <row r="231" spans="2:14">
      <c r="B231" s="95" t="s">
        <v>48</v>
      </c>
      <c r="C231" s="5">
        <f t="shared" ref="C231:N231" si="162">C230</f>
        <v>0.36698386373840414</v>
      </c>
      <c r="D231" s="5">
        <f t="shared" si="162"/>
        <v>0.34466765422455176</v>
      </c>
      <c r="E231" s="5">
        <f t="shared" si="162"/>
        <v>0.32773599058189079</v>
      </c>
      <c r="F231" s="5">
        <f t="shared" si="162"/>
        <v>0.28267767490004447</v>
      </c>
      <c r="G231" s="5">
        <f t="shared" si="162"/>
        <v>0.25062424130563837</v>
      </c>
      <c r="H231" s="5">
        <f t="shared" si="162"/>
        <v>0.23252678192655618</v>
      </c>
      <c r="I231" s="5">
        <f t="shared" si="162"/>
        <v>0.26203588407977974</v>
      </c>
      <c r="J231" s="5">
        <f t="shared" si="162"/>
        <v>0.29737948174646267</v>
      </c>
      <c r="K231" s="5">
        <f t="shared" si="162"/>
        <v>0.31279143089783951</v>
      </c>
      <c r="L231" s="5">
        <f t="shared" si="162"/>
        <v>0.35647106346735918</v>
      </c>
      <c r="M231" s="5">
        <f t="shared" si="162"/>
        <v>0.34719828162363586</v>
      </c>
      <c r="N231" s="101">
        <f t="shared" si="162"/>
        <v>0.35982902633284847</v>
      </c>
    </row>
    <row r="232" spans="2:14">
      <c r="B232" s="95" t="s">
        <v>49</v>
      </c>
      <c r="C232" s="5">
        <f>1.39-4.03*C230+5.53*C230^2-3.11*C230^3</f>
        <v>0.50210999595086325</v>
      </c>
      <c r="D232" s="5">
        <f t="shared" ref="D232:N232" si="163">1.39-4.03*D230+5.53*D230^2-3.11*D230^3</f>
        <v>0.53059092440270417</v>
      </c>
      <c r="E232" s="5">
        <f t="shared" si="163"/>
        <v>0.55372662350658697</v>
      </c>
      <c r="F232" s="5">
        <f t="shared" si="163"/>
        <v>0.62244468888591808</v>
      </c>
      <c r="G232" s="5">
        <f t="shared" si="163"/>
        <v>0.67837881927337285</v>
      </c>
      <c r="H232" s="5">
        <f t="shared" si="163"/>
        <v>0.71281677183707282</v>
      </c>
      <c r="I232" s="5">
        <f t="shared" si="163"/>
        <v>0.6577452071613652</v>
      </c>
      <c r="J232" s="5">
        <f t="shared" si="163"/>
        <v>0.59881506823328556</v>
      </c>
      <c r="K232" s="5">
        <f t="shared" si="163"/>
        <v>0.57532187576705285</v>
      </c>
      <c r="L232" s="5">
        <f t="shared" si="163"/>
        <v>0.51525289314036993</v>
      </c>
      <c r="M232" s="5">
        <f t="shared" si="163"/>
        <v>0.52724922107140038</v>
      </c>
      <c r="N232" s="101">
        <f t="shared" si="163"/>
        <v>0.51100291449670276</v>
      </c>
    </row>
    <row r="233" spans="2:14">
      <c r="B233" s="95" t="s">
        <v>40</v>
      </c>
      <c r="C233" s="5">
        <f>C203*C218*SIN(C222)+C222*C202*C217</f>
        <v>1.1169951152829716</v>
      </c>
      <c r="D233" s="5">
        <f t="shared" ref="D233:N233" si="164">D203*D218*SIN(D222)+D222*D202*D217</f>
        <v>1.0224871595686147</v>
      </c>
      <c r="E233" s="5">
        <f t="shared" si="164"/>
        <v>0.88015739213312139</v>
      </c>
      <c r="F233" s="5">
        <f t="shared" si="164"/>
        <v>0.69222740934784766</v>
      </c>
      <c r="G233" s="5">
        <f t="shared" si="164"/>
        <v>0.53784000745338212</v>
      </c>
      <c r="H233" s="5">
        <f t="shared" si="164"/>
        <v>0.4619627049485312</v>
      </c>
      <c r="I233" s="5">
        <f t="shared" si="164"/>
        <v>0.49214782785352545</v>
      </c>
      <c r="J233" s="5">
        <f t="shared" si="164"/>
        <v>0.6210464443360949</v>
      </c>
      <c r="K233" s="5">
        <f t="shared" si="164"/>
        <v>0.8052143214044124</v>
      </c>
      <c r="L233" s="5">
        <f t="shared" si="164"/>
        <v>0.87724776486471778</v>
      </c>
      <c r="M233" s="5">
        <f t="shared" si="164"/>
        <v>1.0931141283331729</v>
      </c>
      <c r="N233" s="101">
        <f t="shared" si="164"/>
        <v>1.1393708135012601</v>
      </c>
    </row>
    <row r="234" spans="2:14">
      <c r="B234" s="95" t="s">
        <v>40</v>
      </c>
      <c r="C234" s="5">
        <f t="shared" ref="C234:N234" si="165">(C207*C218*SIN(IF(C225&gt;C221,C222,C226))+IF(C225&gt;C221,C222,C226)*C206*C217)/C233</f>
        <v>0.98737625308297272</v>
      </c>
      <c r="D234" s="5">
        <f t="shared" si="165"/>
        <v>0.93228873673087642</v>
      </c>
      <c r="E234" s="5">
        <f t="shared" si="165"/>
        <v>0.85230597620654613</v>
      </c>
      <c r="F234" s="5">
        <f t="shared" si="165"/>
        <v>0.73760581895212607</v>
      </c>
      <c r="G234" s="5">
        <f t="shared" si="165"/>
        <v>0.62268433851996863</v>
      </c>
      <c r="H234" s="5">
        <f t="shared" si="165"/>
        <v>0.55282826592877277</v>
      </c>
      <c r="I234" s="5">
        <f t="shared" si="165"/>
        <v>0.5820441987494045</v>
      </c>
      <c r="J234" s="5">
        <f t="shared" si="165"/>
        <v>0.68808017225251483</v>
      </c>
      <c r="K234" s="5">
        <f t="shared" si="165"/>
        <v>0.80846512521166369</v>
      </c>
      <c r="L234" s="5">
        <f t="shared" si="165"/>
        <v>0.85064106498396019</v>
      </c>
      <c r="M234" s="5">
        <f t="shared" si="165"/>
        <v>0.97301573530648411</v>
      </c>
      <c r="N234" s="101">
        <f t="shared" si="165"/>
        <v>1.0012399113444106</v>
      </c>
    </row>
    <row r="235" spans="2:14">
      <c r="B235" s="95" t="s">
        <v>50</v>
      </c>
      <c r="C235" s="5">
        <f t="shared" ref="C235:N235" si="166">((1-C232)*C234+C232*(1+C199)/2+0.2*(1-C199)/2)</f>
        <v>0.98984323278438924</v>
      </c>
      <c r="D235" s="5">
        <f t="shared" si="166"/>
        <v>0.96397920651380031</v>
      </c>
      <c r="E235" s="5">
        <f t="shared" si="166"/>
        <v>0.92955509409169135</v>
      </c>
      <c r="F235" s="5">
        <f t="shared" si="166"/>
        <v>0.89551806833596148</v>
      </c>
      <c r="G235" s="5">
        <f t="shared" si="166"/>
        <v>0.87251688237509784</v>
      </c>
      <c r="H235" s="5">
        <f t="shared" si="166"/>
        <v>0.86500804754659655</v>
      </c>
      <c r="I235" s="5">
        <f t="shared" si="166"/>
        <v>0.85108663382506444</v>
      </c>
      <c r="J235" s="5">
        <f t="shared" si="166"/>
        <v>0.86975166300769435</v>
      </c>
      <c r="K235" s="5">
        <f t="shared" si="166"/>
        <v>0.91384959096940033</v>
      </c>
      <c r="L235" s="5">
        <f t="shared" si="166"/>
        <v>0.92355873275361178</v>
      </c>
      <c r="M235" s="5">
        <f t="shared" si="166"/>
        <v>0.98304947967975387</v>
      </c>
      <c r="N235" s="101">
        <f t="shared" si="166"/>
        <v>0.99662082075862257</v>
      </c>
    </row>
    <row r="236" spans="2:14">
      <c r="B236" s="94"/>
      <c r="N236" s="101"/>
    </row>
    <row r="237" spans="2:14">
      <c r="B237" s="25" t="s">
        <v>53</v>
      </c>
      <c r="C237" s="5">
        <f>C217*C202*C199</f>
        <v>0.19250670267707085</v>
      </c>
      <c r="D237" s="5">
        <f t="shared" ref="D237:N237" si="167">D217*D202*D199</f>
        <v>0.12198504305164054</v>
      </c>
      <c r="E237" s="5">
        <f t="shared" si="167"/>
        <v>2.6098240506715324E-2</v>
      </c>
      <c r="F237" s="5">
        <f t="shared" si="167"/>
        <v>-8.6809905682813174E-2</v>
      </c>
      <c r="G237" s="5">
        <f t="shared" si="167"/>
        <v>-0.17094908138576792</v>
      </c>
      <c r="H237" s="5">
        <f t="shared" si="167"/>
        <v>-0.21003065113432215</v>
      </c>
      <c r="I237" s="5">
        <f t="shared" si="167"/>
        <v>-0.19464424731340391</v>
      </c>
      <c r="J237" s="5">
        <f t="shared" si="167"/>
        <v>-0.12643708704115578</v>
      </c>
      <c r="K237" s="5">
        <f t="shared" si="167"/>
        <v>-2.0527932563616236E-2</v>
      </c>
      <c r="L237" s="5">
        <f t="shared" si="167"/>
        <v>2.424350984648976E-2</v>
      </c>
      <c r="M237" s="5">
        <f t="shared" si="167"/>
        <v>0.17406643263916982</v>
      </c>
      <c r="N237" s="101">
        <f t="shared" si="167"/>
        <v>0.21020764048931065</v>
      </c>
    </row>
    <row r="238" spans="2:14">
      <c r="B238" s="25" t="s">
        <v>53</v>
      </c>
      <c r="C238" s="5">
        <f t="shared" ref="C238:N238" si="168">C237-C217*C203*C198</f>
        <v>0.26094395948180438</v>
      </c>
      <c r="D238" s="5">
        <f t="shared" si="168"/>
        <v>0.16535143809953595</v>
      </c>
      <c r="E238" s="5">
        <f t="shared" si="168"/>
        <v>3.537631738856778E-2</v>
      </c>
      <c r="F238" s="5">
        <f t="shared" si="168"/>
        <v>-0.1176713340164304</v>
      </c>
      <c r="G238" s="5">
        <f t="shared" si="168"/>
        <v>-0.23172247795137524</v>
      </c>
      <c r="H238" s="5">
        <f t="shared" si="168"/>
        <v>-0.28469777393397444</v>
      </c>
      <c r="I238" s="5">
        <f t="shared" si="168"/>
        <v>-0.26384141371699282</v>
      </c>
      <c r="J238" s="5">
        <f t="shared" si="168"/>
        <v>-0.17138620972180033</v>
      </c>
      <c r="K238" s="5">
        <f t="shared" si="168"/>
        <v>-2.7825732447930539E-2</v>
      </c>
      <c r="L238" s="5">
        <f t="shared" si="168"/>
        <v>3.2862219149279795E-2</v>
      </c>
      <c r="M238" s="5">
        <f t="shared" si="168"/>
        <v>0.23594806577686944</v>
      </c>
      <c r="N238" s="101">
        <f t="shared" si="168"/>
        <v>0.28493768403806208</v>
      </c>
    </row>
    <row r="239" spans="2:14">
      <c r="B239" s="25" t="s">
        <v>53</v>
      </c>
      <c r="C239" s="5">
        <f t="shared" ref="C239:N239" si="169">C238+C218*C203*C199*C209</f>
        <v>0.86509306642577466</v>
      </c>
      <c r="D239" s="5">
        <f t="shared" si="169"/>
        <v>0.79630018702725702</v>
      </c>
      <c r="E239" s="5">
        <f t="shared" si="169"/>
        <v>0.6829007644866103</v>
      </c>
      <c r="F239" s="5">
        <f t="shared" si="169"/>
        <v>0.5219046424676822</v>
      </c>
      <c r="G239" s="5">
        <f t="shared" si="169"/>
        <v>0.38202813760948617</v>
      </c>
      <c r="H239" s="5">
        <f t="shared" si="169"/>
        <v>0.31067468505277895</v>
      </c>
      <c r="I239" s="5">
        <f t="shared" si="169"/>
        <v>0.3392846644923026</v>
      </c>
      <c r="J239" s="5">
        <f t="shared" si="169"/>
        <v>0.45825313083401187</v>
      </c>
      <c r="K239" s="5">
        <f t="shared" si="169"/>
        <v>0.6199979556220695</v>
      </c>
      <c r="L239" s="5">
        <f t="shared" si="169"/>
        <v>0.68049425961525634</v>
      </c>
      <c r="M239" s="5">
        <f t="shared" si="169"/>
        <v>0.84838960668176411</v>
      </c>
      <c r="N239" s="101">
        <f t="shared" si="169"/>
        <v>0.88021691282361059</v>
      </c>
    </row>
    <row r="240" spans="2:14">
      <c r="B240" s="25" t="s">
        <v>53</v>
      </c>
      <c r="C240" s="5">
        <f t="shared" ref="C240:N240" si="170">C239+C218*C202*C198*C209</f>
        <v>0.77451446715382344</v>
      </c>
      <c r="D240" s="5">
        <f t="shared" si="170"/>
        <v>0.70170358292176882</v>
      </c>
      <c r="E240" s="5">
        <f t="shared" si="170"/>
        <v>0.58581900645973817</v>
      </c>
      <c r="F240" s="5">
        <f t="shared" si="170"/>
        <v>0.42601457921663444</v>
      </c>
      <c r="G240" s="5">
        <f t="shared" si="170"/>
        <v>0.29001000761338175</v>
      </c>
      <c r="H240" s="5">
        <f t="shared" si="170"/>
        <v>0.22141194716195109</v>
      </c>
      <c r="I240" s="5">
        <f t="shared" si="170"/>
        <v>0.2488594454186116</v>
      </c>
      <c r="J240" s="5">
        <f t="shared" si="170"/>
        <v>0.36385284312598126</v>
      </c>
      <c r="K240" s="5">
        <f t="shared" si="170"/>
        <v>0.52287133312751366</v>
      </c>
      <c r="L240" s="5">
        <f t="shared" si="170"/>
        <v>0.58339637037765102</v>
      </c>
      <c r="M240" s="5">
        <f t="shared" si="170"/>
        <v>0.7565677430499016</v>
      </c>
      <c r="N240" s="101">
        <f t="shared" si="170"/>
        <v>0.79096815270902687</v>
      </c>
    </row>
    <row r="241" spans="2:15">
      <c r="B241" s="25" t="s">
        <v>53</v>
      </c>
      <c r="C241" s="5">
        <f t="shared" ref="C241:N241" si="171">ATAN(SQRT(1-C240^2)/C240)/C195</f>
        <v>39.238966790344691</v>
      </c>
      <c r="D241" s="5">
        <f t="shared" si="171"/>
        <v>45.436157005063272</v>
      </c>
      <c r="E241" s="5">
        <f t="shared" si="171"/>
        <v>54.139129843857695</v>
      </c>
      <c r="F241" s="5">
        <f t="shared" si="171"/>
        <v>64.785100120057294</v>
      </c>
      <c r="G241" s="5">
        <f t="shared" si="171"/>
        <v>73.141444835440311</v>
      </c>
      <c r="H241" s="5">
        <f t="shared" si="171"/>
        <v>77.208023017651826</v>
      </c>
      <c r="I241" s="5">
        <f t="shared" si="171"/>
        <v>75.589969688611248</v>
      </c>
      <c r="J241" s="5">
        <f t="shared" si="171"/>
        <v>68.662998247286865</v>
      </c>
      <c r="K241" s="5">
        <f t="shared" si="171"/>
        <v>58.474947322326628</v>
      </c>
      <c r="L241" s="5">
        <f t="shared" si="171"/>
        <v>54.310218462519288</v>
      </c>
      <c r="M241" s="5">
        <f t="shared" si="171"/>
        <v>40.837455113462738</v>
      </c>
      <c r="N241" s="101">
        <f t="shared" si="171"/>
        <v>37.723920872672956</v>
      </c>
    </row>
    <row r="243" spans="2:15">
      <c r="C243" s="12">
        <f>C229*C235*1.05</f>
        <v>16358.962421210552</v>
      </c>
      <c r="D243" s="12">
        <f t="shared" ref="D243:N243" si="172">D229*D235*1.05</f>
        <v>13580.961284258874</v>
      </c>
      <c r="E243" s="12">
        <f t="shared" si="172"/>
        <v>10577.521750945929</v>
      </c>
      <c r="F243" s="12">
        <f t="shared" si="172"/>
        <v>6793.4734988782075</v>
      </c>
      <c r="G243" s="12">
        <f t="shared" si="172"/>
        <v>4491.4538466269687</v>
      </c>
      <c r="H243" s="12">
        <f t="shared" si="172"/>
        <v>3515.3689175080613</v>
      </c>
      <c r="I243" s="12">
        <f t="shared" si="172"/>
        <v>4150.5512099791586</v>
      </c>
      <c r="J243" s="12">
        <f t="shared" si="172"/>
        <v>6126.7211898403984</v>
      </c>
      <c r="K243" s="12">
        <f t="shared" si="172"/>
        <v>8913.2630564061383</v>
      </c>
      <c r="L243" s="12">
        <f t="shared" si="172"/>
        <v>11259.951876136583</v>
      </c>
      <c r="M243" s="12">
        <f t="shared" si="172"/>
        <v>14914.987925815893</v>
      </c>
      <c r="N243" s="12">
        <f t="shared" si="172"/>
        <v>16470.974407861253</v>
      </c>
      <c r="O243" s="12">
        <f>SUM(C243:N243)/86.01</f>
        <v>1362.0996556850134</v>
      </c>
    </row>
    <row r="244" spans="2:15">
      <c r="C244" s="12"/>
      <c r="D244" s="12"/>
      <c r="E244" s="12"/>
      <c r="F244" s="12"/>
      <c r="G244" s="12"/>
      <c r="H244" s="12"/>
      <c r="I244" s="12"/>
      <c r="J244" s="12"/>
      <c r="K244" s="12"/>
      <c r="L244" s="12"/>
      <c r="M244" s="12"/>
      <c r="N244" s="12"/>
      <c r="O244" s="12"/>
    </row>
    <row r="246" spans="2:15">
      <c r="B246" s="26"/>
      <c r="C246" s="546" t="s">
        <v>69</v>
      </c>
      <c r="D246" s="546"/>
      <c r="E246" s="546"/>
      <c r="F246" s="546"/>
      <c r="G246" s="546"/>
      <c r="H246" s="546"/>
      <c r="I246" s="546"/>
      <c r="J246" s="546"/>
      <c r="K246" s="546"/>
      <c r="L246" s="546"/>
      <c r="M246" s="546"/>
      <c r="N246" s="546"/>
    </row>
    <row r="247" spans="2:15">
      <c r="B247" s="26"/>
      <c r="C247" s="413" t="s">
        <v>2</v>
      </c>
      <c r="D247" s="414" t="s">
        <v>3</v>
      </c>
      <c r="E247" s="414" t="s">
        <v>4</v>
      </c>
      <c r="F247" s="414" t="s">
        <v>5</v>
      </c>
      <c r="G247" s="414" t="s">
        <v>6</v>
      </c>
      <c r="H247" s="414" t="s">
        <v>7</v>
      </c>
      <c r="I247" s="414" t="s">
        <v>8</v>
      </c>
      <c r="J247" s="414" t="s">
        <v>9</v>
      </c>
      <c r="K247" s="414" t="s">
        <v>15</v>
      </c>
      <c r="L247" s="414" t="s">
        <v>16</v>
      </c>
      <c r="M247" s="414" t="s">
        <v>17</v>
      </c>
      <c r="N247" s="415" t="s">
        <v>18</v>
      </c>
      <c r="O247" s="5" t="s">
        <v>70</v>
      </c>
    </row>
    <row r="248" spans="2:15">
      <c r="B248" s="26" t="s">
        <v>198</v>
      </c>
      <c r="C248" s="416">
        <v>21</v>
      </c>
      <c r="D248" s="417">
        <v>21</v>
      </c>
      <c r="E248" s="417">
        <v>18.5</v>
      </c>
      <c r="F248" s="417">
        <v>15</v>
      </c>
      <c r="G248" s="417">
        <v>11.5</v>
      </c>
      <c r="H248" s="417">
        <v>10</v>
      </c>
      <c r="I248" s="417">
        <v>8.5</v>
      </c>
      <c r="J248" s="417">
        <v>10</v>
      </c>
      <c r="K248" s="417">
        <v>11.5</v>
      </c>
      <c r="L248" s="417">
        <v>14.5</v>
      </c>
      <c r="M248" s="417">
        <v>17.5</v>
      </c>
      <c r="N248" s="418">
        <v>19.5</v>
      </c>
      <c r="O248" s="5">
        <f>MAX(C248:N248)</f>
        <v>21</v>
      </c>
    </row>
    <row r="249" spans="2:15">
      <c r="B249" s="26" t="s">
        <v>199</v>
      </c>
      <c r="C249" s="416">
        <v>23</v>
      </c>
      <c r="D249" s="417">
        <v>23</v>
      </c>
      <c r="E249" s="417">
        <v>22.5</v>
      </c>
      <c r="F249" s="417">
        <v>20.5</v>
      </c>
      <c r="G249" s="417">
        <v>19</v>
      </c>
      <c r="H249" s="417">
        <v>17.5</v>
      </c>
      <c r="I249" s="417">
        <v>16.5</v>
      </c>
      <c r="J249" s="417">
        <v>16.5</v>
      </c>
      <c r="K249" s="417">
        <v>17</v>
      </c>
      <c r="L249" s="417">
        <v>18.5</v>
      </c>
      <c r="M249" s="417">
        <v>19.5</v>
      </c>
      <c r="N249" s="418">
        <v>21</v>
      </c>
      <c r="O249" s="5">
        <f>MAX(C249:N249)</f>
        <v>23</v>
      </c>
    </row>
    <row r="250" spans="2:15">
      <c r="B250" s="26" t="s">
        <v>200</v>
      </c>
      <c r="C250" s="416">
        <v>17</v>
      </c>
      <c r="D250" s="417">
        <v>16.5</v>
      </c>
      <c r="E250" s="417">
        <v>15.5</v>
      </c>
      <c r="F250" s="417">
        <v>13</v>
      </c>
      <c r="G250" s="417">
        <v>12</v>
      </c>
      <c r="H250" s="417">
        <v>10.5</v>
      </c>
      <c r="I250" s="417">
        <v>9.5</v>
      </c>
      <c r="J250" s="417">
        <v>10</v>
      </c>
      <c r="K250" s="417">
        <v>10.5</v>
      </c>
      <c r="L250" s="417">
        <v>12.5</v>
      </c>
      <c r="M250" s="417">
        <v>14</v>
      </c>
      <c r="N250" s="418">
        <v>15.5</v>
      </c>
      <c r="O250" s="5">
        <f>MAX(C250:N250)</f>
        <v>17</v>
      </c>
    </row>
    <row r="251" spans="2:15">
      <c r="B251" s="26" t="s">
        <v>201</v>
      </c>
      <c r="C251" s="419">
        <v>11</v>
      </c>
      <c r="D251" s="420">
        <v>11</v>
      </c>
      <c r="E251" s="420">
        <v>8.5</v>
      </c>
      <c r="F251" s="420">
        <v>7</v>
      </c>
      <c r="G251" s="420">
        <v>4.5</v>
      </c>
      <c r="H251" s="420">
        <v>2</v>
      </c>
      <c r="I251" s="420">
        <v>1.5</v>
      </c>
      <c r="J251" s="420">
        <v>3</v>
      </c>
      <c r="K251" s="420">
        <v>4.5</v>
      </c>
      <c r="L251" s="420">
        <v>4.5</v>
      </c>
      <c r="M251" s="420">
        <v>7</v>
      </c>
      <c r="N251" s="421">
        <v>9</v>
      </c>
      <c r="O251" s="5">
        <f>MAX(C251:N251)</f>
        <v>11</v>
      </c>
    </row>
    <row r="252" spans="2:15">
      <c r="B252" s="26"/>
      <c r="C252" s="26"/>
      <c r="D252" s="26"/>
      <c r="E252" s="26"/>
      <c r="F252" s="26"/>
      <c r="G252" s="26"/>
      <c r="H252" s="26"/>
      <c r="I252" s="26"/>
      <c r="J252" s="26"/>
      <c r="K252" s="26"/>
      <c r="L252" s="26"/>
      <c r="M252" s="26"/>
      <c r="N252" s="26"/>
    </row>
    <row r="253" spans="2:15">
      <c r="B253" s="26"/>
      <c r="C253" s="26"/>
      <c r="D253" s="26"/>
      <c r="E253" s="26"/>
      <c r="F253" s="26"/>
      <c r="G253" s="26"/>
      <c r="H253" s="26"/>
      <c r="I253" s="26"/>
      <c r="J253" s="26"/>
      <c r="K253" s="26"/>
      <c r="L253" s="26"/>
      <c r="M253" s="26"/>
      <c r="N253" s="26"/>
    </row>
    <row r="254" spans="2:15">
      <c r="B254" s="26"/>
      <c r="C254" s="26"/>
      <c r="D254" s="26"/>
      <c r="E254" s="26"/>
      <c r="F254" s="26"/>
      <c r="G254" s="26"/>
      <c r="H254" s="26"/>
      <c r="I254" s="26"/>
      <c r="J254" s="26"/>
      <c r="K254" s="26"/>
      <c r="L254" s="26"/>
      <c r="M254" s="26"/>
      <c r="N254" s="26"/>
    </row>
    <row r="255" spans="2:15">
      <c r="B255" s="26"/>
      <c r="C255" s="26"/>
      <c r="D255" s="26"/>
      <c r="E255" s="26"/>
      <c r="F255" s="26"/>
      <c r="G255" s="26"/>
      <c r="H255" s="26"/>
      <c r="I255" s="26"/>
      <c r="J255" s="26"/>
      <c r="K255" s="26"/>
      <c r="L255" s="26"/>
      <c r="M255" s="26"/>
      <c r="N255" s="26"/>
    </row>
    <row r="256" spans="2:15">
      <c r="B256" s="26"/>
      <c r="C256" s="26"/>
      <c r="D256" s="26"/>
      <c r="E256" s="26"/>
      <c r="F256" s="26"/>
      <c r="G256" s="26"/>
      <c r="H256" s="26"/>
      <c r="I256" s="26"/>
      <c r="J256" s="26"/>
      <c r="K256" s="26"/>
      <c r="L256" s="26"/>
      <c r="M256" s="26"/>
      <c r="N256" s="26"/>
    </row>
    <row r="257" spans="2:14">
      <c r="B257" s="26"/>
      <c r="C257" s="26"/>
      <c r="D257" s="26"/>
      <c r="E257" s="26"/>
      <c r="F257" s="26"/>
      <c r="G257" s="26"/>
      <c r="H257" s="26"/>
      <c r="I257" s="26"/>
      <c r="J257" s="26"/>
      <c r="K257" s="26"/>
      <c r="L257" s="26"/>
      <c r="M257" s="26"/>
      <c r="N257" s="26"/>
    </row>
    <row r="258" spans="2:14">
      <c r="B258" s="26"/>
      <c r="C258" s="26"/>
      <c r="D258" s="26"/>
      <c r="E258" s="26"/>
      <c r="F258" s="26"/>
      <c r="G258" s="26"/>
      <c r="H258" s="26"/>
      <c r="I258" s="26"/>
      <c r="J258" s="26"/>
      <c r="K258" s="26"/>
      <c r="L258" s="26"/>
      <c r="M258" s="26"/>
      <c r="N258" s="26"/>
    </row>
    <row r="259" spans="2:14">
      <c r="B259" s="26"/>
      <c r="C259" s="26"/>
      <c r="D259" s="26"/>
      <c r="E259" s="26"/>
      <c r="F259" s="26"/>
      <c r="G259" s="26"/>
      <c r="H259" s="26"/>
      <c r="I259" s="26"/>
      <c r="J259" s="26"/>
      <c r="K259" s="26"/>
      <c r="L259" s="26"/>
      <c r="M259" s="26"/>
      <c r="N259" s="26"/>
    </row>
    <row r="260" spans="2:14">
      <c r="B260" s="26"/>
      <c r="C260" s="26"/>
      <c r="D260" s="26"/>
      <c r="E260" s="26"/>
      <c r="F260" s="26"/>
      <c r="G260" s="26"/>
      <c r="H260" s="26"/>
      <c r="I260" s="26"/>
      <c r="J260" s="26"/>
      <c r="K260" s="26"/>
      <c r="L260" s="26"/>
      <c r="M260" s="26"/>
      <c r="N260" s="26"/>
    </row>
    <row r="261" spans="2:14">
      <c r="B261" s="26"/>
      <c r="C261" s="26"/>
      <c r="D261" s="26"/>
      <c r="E261" s="26"/>
      <c r="F261" s="26"/>
      <c r="G261" s="26"/>
      <c r="H261" s="26"/>
      <c r="I261" s="26"/>
      <c r="J261" s="26"/>
      <c r="K261" s="26"/>
      <c r="L261" s="26"/>
      <c r="M261" s="26"/>
      <c r="N261" s="26"/>
    </row>
    <row r="262" spans="2:14">
      <c r="B262" s="26"/>
      <c r="C262" s="26"/>
      <c r="D262" s="26"/>
      <c r="E262" s="26"/>
      <c r="F262" s="26"/>
      <c r="G262" s="26"/>
      <c r="H262" s="26"/>
      <c r="I262" s="26"/>
      <c r="J262" s="26"/>
      <c r="K262" s="26"/>
      <c r="L262" s="26"/>
      <c r="M262" s="26"/>
      <c r="N262" s="26"/>
    </row>
    <row r="263" spans="2:14">
      <c r="B263" s="26"/>
      <c r="C263" s="26"/>
      <c r="D263" s="26"/>
      <c r="E263" s="26"/>
      <c r="F263" s="26"/>
      <c r="G263" s="26"/>
      <c r="H263" s="26"/>
      <c r="I263" s="26"/>
      <c r="J263" s="26"/>
      <c r="K263" s="26"/>
      <c r="L263" s="26"/>
      <c r="M263" s="26"/>
      <c r="N263" s="26"/>
    </row>
    <row r="264" spans="2:14">
      <c r="B264" s="26"/>
      <c r="C264" s="26"/>
      <c r="D264" s="26"/>
      <c r="E264" s="26"/>
      <c r="F264" s="26"/>
      <c r="G264" s="26"/>
      <c r="H264" s="26"/>
      <c r="I264" s="26"/>
      <c r="J264" s="26"/>
      <c r="K264" s="26"/>
      <c r="L264" s="26"/>
      <c r="M264" s="26"/>
      <c r="N264" s="26"/>
    </row>
    <row r="265" spans="2:14">
      <c r="B265" s="26"/>
      <c r="C265" s="26"/>
      <c r="D265" s="26"/>
      <c r="E265" s="26"/>
      <c r="F265" s="26"/>
      <c r="G265" s="26"/>
      <c r="H265" s="26"/>
      <c r="I265" s="26"/>
      <c r="J265" s="26"/>
      <c r="K265" s="26"/>
      <c r="L265" s="26"/>
      <c r="M265" s="26"/>
      <c r="N265" s="26"/>
    </row>
    <row r="266" spans="2:14">
      <c r="B266" s="26"/>
      <c r="C266" s="26"/>
      <c r="D266" s="26"/>
      <c r="E266" s="26"/>
      <c r="F266" s="26"/>
      <c r="G266" s="26"/>
      <c r="H266" s="26"/>
      <c r="I266" s="26"/>
      <c r="J266" s="26"/>
      <c r="K266" s="26"/>
      <c r="L266" s="26"/>
      <c r="M266" s="26"/>
      <c r="N266" s="26"/>
    </row>
    <row r="267" spans="2:14">
      <c r="B267" s="26"/>
      <c r="C267" s="26"/>
      <c r="D267" s="26"/>
      <c r="E267" s="26"/>
      <c r="F267" s="26"/>
      <c r="G267" s="26"/>
      <c r="H267" s="26"/>
      <c r="I267" s="26"/>
      <c r="J267" s="26"/>
      <c r="K267" s="26"/>
      <c r="L267" s="26"/>
      <c r="M267" s="26"/>
      <c r="N267" s="26"/>
    </row>
    <row r="268" spans="2:14">
      <c r="B268" s="26"/>
      <c r="C268" s="26"/>
      <c r="D268" s="26"/>
      <c r="E268" s="26"/>
      <c r="F268" s="26"/>
      <c r="G268" s="26"/>
      <c r="H268" s="26"/>
      <c r="I268" s="26"/>
      <c r="J268" s="26"/>
      <c r="K268" s="26"/>
      <c r="L268" s="26"/>
      <c r="M268" s="26"/>
      <c r="N268" s="26"/>
    </row>
    <row r="269" spans="2:14">
      <c r="B269" s="26"/>
      <c r="C269" s="26"/>
      <c r="D269" s="26"/>
      <c r="E269" s="26"/>
      <c r="F269" s="26"/>
      <c r="G269" s="26"/>
      <c r="H269" s="26"/>
      <c r="I269" s="26"/>
      <c r="J269" s="26"/>
      <c r="K269" s="26"/>
      <c r="L269" s="26"/>
      <c r="M269" s="26"/>
      <c r="N269" s="26"/>
    </row>
    <row r="270" spans="2:14">
      <c r="B270" s="26"/>
      <c r="C270" s="26"/>
      <c r="D270" s="26"/>
      <c r="E270" s="26"/>
      <c r="F270" s="26"/>
      <c r="G270" s="26"/>
      <c r="H270" s="26"/>
      <c r="I270" s="26"/>
      <c r="J270" s="26"/>
      <c r="K270" s="26"/>
      <c r="L270" s="26"/>
      <c r="M270" s="26"/>
      <c r="N270" s="26"/>
    </row>
    <row r="271" spans="2:14">
      <c r="B271" s="26"/>
      <c r="C271" s="26"/>
      <c r="D271" s="26"/>
      <c r="E271" s="26"/>
      <c r="F271" s="26"/>
      <c r="G271" s="26"/>
      <c r="H271" s="26"/>
      <c r="I271" s="26"/>
      <c r="J271" s="26"/>
      <c r="K271" s="26"/>
      <c r="L271" s="26"/>
      <c r="M271" s="26"/>
      <c r="N271" s="26"/>
    </row>
    <row r="272" spans="2:14">
      <c r="B272" s="26"/>
      <c r="C272" s="26"/>
      <c r="D272" s="26"/>
      <c r="E272" s="26"/>
      <c r="F272" s="26"/>
      <c r="G272" s="26"/>
      <c r="H272" s="26"/>
      <c r="I272" s="26"/>
      <c r="J272" s="26"/>
      <c r="K272" s="26"/>
      <c r="L272" s="26"/>
      <c r="M272" s="26"/>
      <c r="N272" s="26"/>
    </row>
    <row r="273" spans="2:14">
      <c r="B273" s="26"/>
      <c r="C273" s="26"/>
      <c r="D273" s="26"/>
      <c r="E273" s="26"/>
      <c r="F273" s="26"/>
      <c r="G273" s="26"/>
      <c r="H273" s="26"/>
      <c r="I273" s="26"/>
      <c r="J273" s="26"/>
      <c r="K273" s="26"/>
      <c r="L273" s="26"/>
      <c r="M273" s="26"/>
      <c r="N273" s="26"/>
    </row>
    <row r="274" spans="2:14">
      <c r="B274" s="26"/>
      <c r="C274" s="26"/>
      <c r="D274" s="26"/>
      <c r="E274" s="26"/>
      <c r="F274" s="26"/>
      <c r="G274" s="26"/>
      <c r="H274" s="26"/>
      <c r="I274" s="26"/>
      <c r="J274" s="26"/>
      <c r="K274" s="26"/>
      <c r="L274" s="26"/>
      <c r="M274" s="26"/>
      <c r="N274" s="26"/>
    </row>
    <row r="275" spans="2:14">
      <c r="B275" s="26"/>
      <c r="C275" s="26"/>
      <c r="D275" s="26"/>
      <c r="E275" s="26"/>
      <c r="F275" s="26"/>
      <c r="G275" s="26"/>
      <c r="H275" s="26"/>
      <c r="I275" s="26"/>
      <c r="J275" s="26"/>
      <c r="K275" s="26"/>
      <c r="L275" s="26"/>
      <c r="M275" s="26"/>
      <c r="N275" s="26"/>
    </row>
    <row r="276" spans="2:14">
      <c r="B276" s="26"/>
      <c r="C276" s="26"/>
      <c r="D276" s="26"/>
      <c r="E276" s="26"/>
      <c r="F276" s="26"/>
      <c r="G276" s="26"/>
      <c r="H276" s="26"/>
      <c r="I276" s="26"/>
      <c r="J276" s="26"/>
      <c r="K276" s="26"/>
      <c r="L276" s="26"/>
      <c r="M276" s="26"/>
      <c r="N276" s="26"/>
    </row>
    <row r="277" spans="2:14">
      <c r="B277" s="26"/>
      <c r="C277" s="26"/>
      <c r="D277" s="26"/>
      <c r="E277" s="26"/>
      <c r="F277" s="26"/>
      <c r="G277" s="26"/>
      <c r="H277" s="26"/>
      <c r="I277" s="26"/>
      <c r="J277" s="26"/>
      <c r="K277" s="26"/>
      <c r="L277" s="26"/>
      <c r="M277" s="26"/>
      <c r="N277" s="26"/>
    </row>
    <row r="278" spans="2:14">
      <c r="B278" s="26"/>
      <c r="C278" s="26"/>
      <c r="D278" s="26"/>
      <c r="E278" s="26"/>
      <c r="F278" s="26"/>
      <c r="G278" s="26"/>
      <c r="H278" s="26"/>
      <c r="I278" s="26"/>
      <c r="J278" s="26"/>
      <c r="K278" s="26"/>
      <c r="L278" s="26"/>
      <c r="M278" s="26"/>
      <c r="N278" s="26"/>
    </row>
    <row r="279" spans="2:14">
      <c r="B279" s="26"/>
      <c r="C279" s="26"/>
      <c r="D279" s="26"/>
      <c r="E279" s="26"/>
      <c r="F279" s="26"/>
      <c r="G279" s="26"/>
      <c r="H279" s="26"/>
      <c r="I279" s="26"/>
      <c r="J279" s="26"/>
      <c r="K279" s="26"/>
      <c r="L279" s="26"/>
      <c r="M279" s="26"/>
      <c r="N279" s="26"/>
    </row>
    <row r="280" spans="2:14">
      <c r="B280" s="26"/>
      <c r="C280" s="26"/>
      <c r="D280" s="26"/>
      <c r="E280" s="26"/>
      <c r="F280" s="26"/>
      <c r="G280" s="26"/>
      <c r="H280" s="26"/>
      <c r="I280" s="26"/>
      <c r="J280" s="26"/>
      <c r="K280" s="26"/>
      <c r="L280" s="26"/>
      <c r="M280" s="26"/>
      <c r="N280" s="26"/>
    </row>
    <row r="281" spans="2:14">
      <c r="B281" s="26"/>
      <c r="C281" s="26"/>
      <c r="D281" s="26"/>
      <c r="E281" s="26"/>
      <c r="F281" s="26"/>
      <c r="G281" s="26"/>
      <c r="H281" s="26"/>
      <c r="I281" s="26"/>
      <c r="J281" s="26"/>
      <c r="K281" s="26"/>
      <c r="L281" s="26"/>
      <c r="M281" s="26"/>
      <c r="N281" s="26"/>
    </row>
    <row r="282" spans="2:14">
      <c r="B282" s="26"/>
      <c r="C282" s="26"/>
      <c r="D282" s="26"/>
      <c r="E282" s="26"/>
      <c r="F282" s="26"/>
      <c r="G282" s="26"/>
      <c r="H282" s="26"/>
      <c r="I282" s="26"/>
      <c r="J282" s="26"/>
      <c r="K282" s="26"/>
      <c r="L282" s="26"/>
      <c r="M282" s="26"/>
      <c r="N282" s="26"/>
    </row>
    <row r="283" spans="2:14">
      <c r="B283" s="26"/>
      <c r="C283" s="26"/>
      <c r="D283" s="26"/>
      <c r="E283" s="26"/>
      <c r="F283" s="26"/>
      <c r="G283" s="26"/>
      <c r="H283" s="26"/>
      <c r="I283" s="26"/>
      <c r="J283" s="26"/>
      <c r="K283" s="26"/>
      <c r="L283" s="26"/>
      <c r="M283" s="26"/>
      <c r="N283" s="26"/>
    </row>
    <row r="284" spans="2:14">
      <c r="B284" s="26"/>
      <c r="C284" s="26"/>
      <c r="D284" s="26"/>
      <c r="E284" s="26"/>
      <c r="F284" s="26"/>
      <c r="G284" s="26"/>
      <c r="H284" s="26"/>
      <c r="I284" s="26"/>
      <c r="J284" s="26"/>
      <c r="K284" s="26"/>
      <c r="L284" s="26"/>
      <c r="M284" s="26"/>
      <c r="N284" s="26"/>
    </row>
    <row r="285" spans="2:14">
      <c r="B285" s="26"/>
      <c r="C285" s="26"/>
      <c r="D285" s="26"/>
      <c r="E285" s="26"/>
      <c r="F285" s="26"/>
      <c r="G285" s="26"/>
      <c r="H285" s="26"/>
      <c r="I285" s="26"/>
      <c r="J285" s="26"/>
      <c r="K285" s="26"/>
      <c r="L285" s="26"/>
      <c r="M285" s="26"/>
      <c r="N285" s="26"/>
    </row>
    <row r="286" spans="2:14">
      <c r="B286" s="26"/>
      <c r="C286" s="26"/>
      <c r="D286" s="26"/>
      <c r="E286" s="26"/>
      <c r="F286" s="26"/>
      <c r="G286" s="26"/>
      <c r="H286" s="26"/>
      <c r="I286" s="26"/>
      <c r="J286" s="26"/>
      <c r="K286" s="26"/>
      <c r="L286" s="26"/>
      <c r="M286" s="26"/>
      <c r="N286" s="26"/>
    </row>
    <row r="287" spans="2:14">
      <c r="B287" s="26"/>
      <c r="C287" s="26"/>
      <c r="D287" s="26"/>
      <c r="E287" s="26"/>
      <c r="F287" s="26"/>
      <c r="G287" s="26"/>
      <c r="H287" s="26"/>
      <c r="I287" s="26"/>
      <c r="J287" s="26"/>
      <c r="K287" s="26"/>
      <c r="L287" s="26"/>
      <c r="M287" s="26"/>
      <c r="N287" s="26"/>
    </row>
    <row r="288" spans="2:14">
      <c r="B288" s="26"/>
      <c r="C288" s="26"/>
      <c r="D288" s="26"/>
      <c r="E288" s="26"/>
      <c r="F288" s="26"/>
      <c r="G288" s="26"/>
      <c r="H288" s="26"/>
      <c r="I288" s="26"/>
      <c r="J288" s="26"/>
      <c r="K288" s="26"/>
      <c r="L288" s="26"/>
      <c r="M288" s="26"/>
      <c r="N288" s="26"/>
    </row>
    <row r="289" spans="2:14">
      <c r="B289" s="26"/>
      <c r="C289" s="26"/>
      <c r="D289" s="26"/>
      <c r="E289" s="26"/>
      <c r="F289" s="26"/>
      <c r="G289" s="26"/>
      <c r="H289" s="26"/>
      <c r="I289" s="26"/>
      <c r="J289" s="26"/>
      <c r="K289" s="26"/>
      <c r="L289" s="26"/>
      <c r="M289" s="26"/>
      <c r="N289" s="26"/>
    </row>
    <row r="290" spans="2:14">
      <c r="B290" s="26"/>
      <c r="C290" s="26"/>
      <c r="D290" s="26"/>
      <c r="E290" s="26"/>
      <c r="F290" s="26"/>
      <c r="G290" s="26"/>
      <c r="H290" s="26"/>
      <c r="I290" s="26"/>
      <c r="J290" s="26"/>
      <c r="K290" s="26"/>
      <c r="L290" s="26"/>
      <c r="M290" s="26"/>
      <c r="N290" s="26"/>
    </row>
    <row r="291" spans="2:14">
      <c r="B291" s="26"/>
      <c r="C291" s="26"/>
      <c r="D291" s="26"/>
      <c r="E291" s="26"/>
      <c r="F291" s="26"/>
      <c r="G291" s="26"/>
      <c r="H291" s="26"/>
      <c r="I291" s="26"/>
      <c r="J291" s="26"/>
      <c r="K291" s="26"/>
      <c r="L291" s="26"/>
      <c r="M291" s="26"/>
      <c r="N291" s="26"/>
    </row>
    <row r="292" spans="2:14">
      <c r="B292" s="26"/>
      <c r="C292" s="26"/>
      <c r="D292" s="26"/>
      <c r="E292" s="26"/>
      <c r="F292" s="26"/>
      <c r="G292" s="26"/>
      <c r="H292" s="26"/>
      <c r="I292" s="26"/>
      <c r="J292" s="26"/>
      <c r="K292" s="26"/>
      <c r="L292" s="26"/>
      <c r="M292" s="26"/>
      <c r="N292" s="26"/>
    </row>
    <row r="293" spans="2:14">
      <c r="B293" s="26"/>
      <c r="C293" s="26"/>
      <c r="D293" s="26"/>
      <c r="E293" s="26"/>
      <c r="F293" s="26"/>
      <c r="G293" s="26"/>
      <c r="H293" s="26"/>
      <c r="I293" s="26"/>
      <c r="J293" s="26"/>
      <c r="K293" s="26"/>
      <c r="L293" s="26"/>
      <c r="M293" s="26"/>
      <c r="N293" s="26"/>
    </row>
    <row r="294" spans="2:14">
      <c r="B294" s="26"/>
      <c r="C294" s="26"/>
      <c r="D294" s="26"/>
      <c r="E294" s="26"/>
      <c r="F294" s="26"/>
      <c r="G294" s="26"/>
      <c r="H294" s="26"/>
      <c r="I294" s="26"/>
      <c r="J294" s="26"/>
      <c r="K294" s="26"/>
      <c r="L294" s="26"/>
      <c r="M294" s="26"/>
      <c r="N294" s="26"/>
    </row>
    <row r="295" spans="2:14">
      <c r="B295" s="26"/>
      <c r="C295" s="26"/>
      <c r="D295" s="26"/>
      <c r="E295" s="26"/>
      <c r="F295" s="26"/>
      <c r="G295" s="26"/>
      <c r="H295" s="26"/>
      <c r="I295" s="26"/>
      <c r="J295" s="26"/>
      <c r="K295" s="26"/>
      <c r="L295" s="26"/>
      <c r="M295" s="26"/>
      <c r="N295" s="26"/>
    </row>
    <row r="296" spans="2:14">
      <c r="B296" s="26"/>
      <c r="C296" s="26"/>
      <c r="D296" s="26"/>
      <c r="E296" s="26"/>
      <c r="F296" s="26"/>
      <c r="G296" s="26"/>
      <c r="H296" s="26"/>
      <c r="I296" s="26"/>
      <c r="J296" s="26"/>
      <c r="K296" s="26"/>
      <c r="L296" s="26"/>
      <c r="M296" s="26"/>
      <c r="N296" s="26"/>
    </row>
    <row r="297" spans="2:14">
      <c r="B297" s="26"/>
      <c r="C297" s="26"/>
      <c r="D297" s="26"/>
      <c r="E297" s="26"/>
      <c r="F297" s="26"/>
      <c r="G297" s="26"/>
      <c r="H297" s="26"/>
      <c r="I297" s="26"/>
      <c r="J297" s="26"/>
      <c r="K297" s="26"/>
      <c r="L297" s="26"/>
      <c r="M297" s="26"/>
      <c r="N297" s="26"/>
    </row>
    <row r="298" spans="2:14">
      <c r="B298" s="26"/>
      <c r="C298" s="26"/>
      <c r="D298" s="26"/>
      <c r="E298" s="26"/>
      <c r="F298" s="26"/>
      <c r="G298" s="26"/>
      <c r="H298" s="26"/>
      <c r="I298" s="26"/>
      <c r="J298" s="26"/>
      <c r="K298" s="26"/>
      <c r="L298" s="26"/>
      <c r="M298" s="26"/>
      <c r="N298" s="26"/>
    </row>
    <row r="299" spans="2:14">
      <c r="B299" s="26"/>
      <c r="C299" s="26"/>
      <c r="D299" s="26"/>
      <c r="E299" s="26"/>
      <c r="F299" s="26"/>
      <c r="G299" s="26"/>
      <c r="H299" s="26"/>
      <c r="I299" s="26"/>
      <c r="J299" s="26"/>
      <c r="K299" s="26"/>
      <c r="L299" s="26"/>
      <c r="M299" s="26"/>
      <c r="N299" s="26"/>
    </row>
    <row r="300" spans="2:14">
      <c r="B300" s="26"/>
      <c r="C300" s="26"/>
      <c r="D300" s="26"/>
      <c r="E300" s="26"/>
      <c r="F300" s="26"/>
      <c r="G300" s="26"/>
      <c r="H300" s="26"/>
      <c r="I300" s="26"/>
      <c r="J300" s="26"/>
      <c r="K300" s="26"/>
      <c r="L300" s="26"/>
      <c r="M300" s="26"/>
      <c r="N300" s="26"/>
    </row>
    <row r="301" spans="2:14">
      <c r="B301" s="26"/>
      <c r="C301" s="26"/>
      <c r="D301" s="26"/>
      <c r="E301" s="26"/>
      <c r="F301" s="26"/>
      <c r="G301" s="26"/>
      <c r="H301" s="26"/>
      <c r="I301" s="26"/>
      <c r="J301" s="26"/>
      <c r="K301" s="26"/>
      <c r="L301" s="26"/>
      <c r="M301" s="26"/>
      <c r="N301" s="26"/>
    </row>
    <row r="302" spans="2:14">
      <c r="B302" s="26"/>
      <c r="C302" s="26"/>
      <c r="D302" s="26"/>
      <c r="E302" s="26"/>
      <c r="F302" s="26"/>
      <c r="G302" s="26"/>
      <c r="H302" s="26"/>
      <c r="I302" s="26"/>
      <c r="J302" s="26"/>
      <c r="K302" s="26"/>
      <c r="L302" s="26"/>
      <c r="M302" s="26"/>
      <c r="N302" s="26"/>
    </row>
    <row r="303" spans="2:14">
      <c r="B303" s="26"/>
      <c r="C303" s="26"/>
      <c r="D303" s="26"/>
      <c r="E303" s="26"/>
      <c r="F303" s="26"/>
      <c r="G303" s="26"/>
      <c r="H303" s="26"/>
      <c r="I303" s="26"/>
      <c r="J303" s="26"/>
      <c r="K303" s="26"/>
      <c r="L303" s="26"/>
      <c r="M303" s="26"/>
      <c r="N303" s="26"/>
    </row>
    <row r="304" spans="2:14">
      <c r="B304" s="26"/>
      <c r="C304" s="26"/>
      <c r="D304" s="26"/>
      <c r="E304" s="26"/>
      <c r="F304" s="26"/>
      <c r="G304" s="26"/>
      <c r="H304" s="26"/>
      <c r="I304" s="26"/>
      <c r="J304" s="26"/>
      <c r="K304" s="26"/>
      <c r="L304" s="26"/>
      <c r="M304" s="26"/>
      <c r="N304" s="26"/>
    </row>
    <row r="305" spans="2:14">
      <c r="B305" s="26"/>
      <c r="C305" s="26"/>
      <c r="D305" s="26"/>
      <c r="E305" s="26"/>
      <c r="F305" s="26"/>
      <c r="G305" s="26"/>
      <c r="H305" s="26"/>
      <c r="I305" s="26"/>
      <c r="J305" s="26"/>
      <c r="K305" s="26"/>
      <c r="L305" s="26"/>
      <c r="M305" s="26"/>
      <c r="N305" s="26"/>
    </row>
    <row r="306" spans="2:14">
      <c r="B306" s="26"/>
      <c r="C306" s="26"/>
      <c r="D306" s="26"/>
      <c r="E306" s="26"/>
      <c r="F306" s="26"/>
      <c r="G306" s="26"/>
      <c r="H306" s="26"/>
      <c r="I306" s="26"/>
      <c r="J306" s="26"/>
      <c r="K306" s="26"/>
      <c r="L306" s="26"/>
      <c r="M306" s="26"/>
      <c r="N306" s="26"/>
    </row>
    <row r="307" spans="2:14">
      <c r="B307" s="26"/>
      <c r="C307" s="26"/>
      <c r="D307" s="26"/>
      <c r="E307" s="26"/>
      <c r="F307" s="26"/>
      <c r="G307" s="26"/>
      <c r="H307" s="26"/>
      <c r="I307" s="26"/>
      <c r="J307" s="26"/>
      <c r="K307" s="26"/>
      <c r="L307" s="26"/>
      <c r="M307" s="26"/>
      <c r="N307" s="26"/>
    </row>
    <row r="308" spans="2:14">
      <c r="B308" s="26"/>
      <c r="C308" s="26"/>
      <c r="D308" s="26"/>
      <c r="E308" s="26"/>
      <c r="F308" s="26"/>
      <c r="G308" s="26"/>
      <c r="H308" s="26"/>
      <c r="I308" s="26"/>
      <c r="J308" s="26"/>
      <c r="K308" s="26"/>
      <c r="L308" s="26"/>
      <c r="M308" s="26"/>
      <c r="N308" s="26"/>
    </row>
    <row r="309" spans="2:14">
      <c r="B309" s="26"/>
      <c r="C309" s="26"/>
      <c r="D309" s="26"/>
      <c r="E309" s="26"/>
      <c r="F309" s="26"/>
      <c r="G309" s="26"/>
      <c r="H309" s="26"/>
      <c r="I309" s="26"/>
      <c r="J309" s="26"/>
      <c r="K309" s="26"/>
      <c r="L309" s="26"/>
      <c r="M309" s="26"/>
      <c r="N309" s="26"/>
    </row>
    <row r="310" spans="2:14">
      <c r="B310" s="26"/>
      <c r="C310" s="26"/>
      <c r="D310" s="26"/>
      <c r="E310" s="26"/>
      <c r="F310" s="26"/>
      <c r="G310" s="26"/>
      <c r="H310" s="26"/>
      <c r="I310" s="26"/>
      <c r="J310" s="26"/>
      <c r="K310" s="26"/>
      <c r="L310" s="26"/>
      <c r="M310" s="26"/>
      <c r="N310" s="26"/>
    </row>
    <row r="311" spans="2:14">
      <c r="B311" s="26"/>
      <c r="C311" s="26"/>
      <c r="D311" s="26"/>
      <c r="E311" s="26"/>
      <c r="F311" s="26"/>
      <c r="G311" s="26"/>
      <c r="H311" s="26"/>
      <c r="I311" s="26"/>
      <c r="J311" s="26"/>
      <c r="K311" s="26"/>
      <c r="L311" s="26"/>
      <c r="M311" s="26"/>
      <c r="N311" s="26"/>
    </row>
    <row r="312" spans="2:14">
      <c r="B312" s="26"/>
      <c r="C312" s="26"/>
      <c r="D312" s="26"/>
      <c r="E312" s="26"/>
      <c r="F312" s="26"/>
      <c r="G312" s="26"/>
      <c r="H312" s="26"/>
      <c r="I312" s="26"/>
      <c r="J312" s="26"/>
      <c r="K312" s="26"/>
      <c r="L312" s="26"/>
      <c r="M312" s="26"/>
      <c r="N312" s="26"/>
    </row>
    <row r="313" spans="2:14">
      <c r="B313" s="26"/>
      <c r="C313" s="26"/>
      <c r="D313" s="26"/>
      <c r="E313" s="26"/>
      <c r="F313" s="26"/>
      <c r="G313" s="26"/>
      <c r="H313" s="26"/>
      <c r="I313" s="26"/>
      <c r="J313" s="26"/>
      <c r="K313" s="26"/>
      <c r="L313" s="26"/>
      <c r="M313" s="26"/>
      <c r="N313" s="26"/>
    </row>
    <row r="314" spans="2:14">
      <c r="B314" s="26"/>
      <c r="C314" s="26"/>
      <c r="D314" s="26"/>
      <c r="E314" s="26"/>
      <c r="F314" s="26"/>
      <c r="G314" s="26"/>
      <c r="H314" s="26"/>
      <c r="I314" s="26"/>
      <c r="J314" s="26"/>
      <c r="K314" s="26"/>
      <c r="L314" s="26"/>
      <c r="M314" s="26"/>
      <c r="N314" s="26"/>
    </row>
    <row r="315" spans="2:14">
      <c r="B315" s="26"/>
      <c r="C315" s="26"/>
      <c r="D315" s="26"/>
      <c r="E315" s="26"/>
      <c r="F315" s="26"/>
      <c r="G315" s="26"/>
      <c r="H315" s="26"/>
      <c r="I315" s="26"/>
      <c r="J315" s="26"/>
      <c r="K315" s="26"/>
      <c r="L315" s="26"/>
      <c r="M315" s="26"/>
      <c r="N315" s="26"/>
    </row>
    <row r="316" spans="2:14">
      <c r="B316" s="26"/>
      <c r="C316" s="26"/>
      <c r="D316" s="26"/>
      <c r="E316" s="26"/>
      <c r="F316" s="26"/>
      <c r="G316" s="26"/>
      <c r="H316" s="26"/>
      <c r="I316" s="26"/>
      <c r="J316" s="26"/>
      <c r="K316" s="26"/>
      <c r="L316" s="26"/>
      <c r="M316" s="26"/>
      <c r="N316"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48"/>
  <sheetViews>
    <sheetView workbookViewId="0">
      <selection activeCell="H17" sqref="H17:J17"/>
    </sheetView>
  </sheetViews>
  <sheetFormatPr baseColWidth="10" defaultRowHeight="12.75"/>
  <cols>
    <col min="3" max="3" width="21.28515625" customWidth="1"/>
    <col min="7" max="7" width="13.7109375" customWidth="1"/>
  </cols>
  <sheetData>
    <row r="1" spans="1:16">
      <c r="A1" s="231"/>
      <c r="B1" s="231"/>
      <c r="C1" s="231"/>
      <c r="D1" s="231"/>
      <c r="E1" s="231"/>
      <c r="F1" s="231"/>
      <c r="G1" s="231"/>
      <c r="H1" s="231"/>
      <c r="I1" s="231"/>
      <c r="J1" s="231"/>
      <c r="K1" s="231"/>
      <c r="L1" s="231"/>
      <c r="M1" s="231"/>
      <c r="N1" s="231"/>
      <c r="O1" s="231"/>
      <c r="P1" s="231"/>
    </row>
    <row r="2" spans="1:16">
      <c r="A2" s="231"/>
      <c r="B2" s="231"/>
      <c r="C2" s="231"/>
      <c r="D2" s="231"/>
      <c r="E2" s="231"/>
      <c r="F2" s="231"/>
      <c r="G2" s="231"/>
      <c r="H2" s="231"/>
      <c r="I2" s="231"/>
      <c r="J2" s="231"/>
      <c r="K2" s="231"/>
      <c r="L2" s="231"/>
      <c r="M2" s="231"/>
      <c r="N2" s="231"/>
      <c r="O2" s="231"/>
      <c r="P2" s="231"/>
    </row>
    <row r="3" spans="1:16">
      <c r="A3" s="231"/>
      <c r="B3" s="231"/>
      <c r="C3" s="231"/>
      <c r="D3" s="231"/>
      <c r="E3" s="231"/>
      <c r="F3" s="231"/>
      <c r="G3" s="231"/>
      <c r="H3" s="231"/>
      <c r="I3" s="231"/>
      <c r="J3" s="231"/>
      <c r="K3" s="231"/>
      <c r="L3" s="231"/>
      <c r="M3" s="231"/>
      <c r="N3" s="231"/>
      <c r="O3" s="231"/>
      <c r="P3" s="231"/>
    </row>
    <row r="4" spans="1:16">
      <c r="A4" s="231"/>
      <c r="B4" s="231"/>
      <c r="C4" s="231"/>
      <c r="D4" s="231"/>
      <c r="E4" s="231"/>
      <c r="F4" s="231"/>
      <c r="G4" s="231"/>
      <c r="H4" s="231"/>
      <c r="I4" s="231"/>
      <c r="J4" s="231"/>
      <c r="K4" s="231"/>
      <c r="L4" s="231"/>
      <c r="M4" s="231"/>
      <c r="N4" s="231"/>
      <c r="O4" s="231"/>
      <c r="P4" s="231"/>
    </row>
    <row r="5" spans="1:16">
      <c r="A5" s="231"/>
      <c r="B5" s="231"/>
      <c r="C5" s="231"/>
      <c r="D5" s="231"/>
      <c r="E5" s="231"/>
      <c r="F5" s="231"/>
      <c r="G5" s="231"/>
      <c r="H5" s="231"/>
      <c r="I5" s="231"/>
      <c r="J5" s="231"/>
      <c r="K5" s="231"/>
      <c r="L5" s="231"/>
      <c r="M5" s="231"/>
      <c r="N5" s="231"/>
      <c r="O5" s="231"/>
      <c r="P5" s="231"/>
    </row>
    <row r="6" spans="1:16">
      <c r="A6" s="231"/>
      <c r="B6" s="231"/>
      <c r="C6" s="231"/>
      <c r="D6" s="231"/>
      <c r="E6" s="231"/>
      <c r="F6" s="231"/>
      <c r="G6" s="231"/>
      <c r="H6" s="231"/>
      <c r="I6" s="231"/>
      <c r="J6" s="231"/>
      <c r="K6" s="231"/>
      <c r="L6" s="231"/>
      <c r="M6" s="231"/>
      <c r="N6" s="231"/>
      <c r="O6" s="231"/>
      <c r="P6" s="231"/>
    </row>
    <row r="7" spans="1:16">
      <c r="A7" s="231"/>
      <c r="B7" s="231"/>
      <c r="C7" s="231"/>
      <c r="D7" s="231"/>
      <c r="E7" s="231"/>
      <c r="F7" s="231"/>
      <c r="G7" s="231"/>
      <c r="H7" s="231"/>
      <c r="I7" s="231"/>
      <c r="J7" s="231"/>
      <c r="K7" s="231"/>
      <c r="L7" s="231"/>
      <c r="M7" s="231"/>
      <c r="N7" s="231"/>
      <c r="O7" s="231"/>
      <c r="P7" s="231"/>
    </row>
    <row r="8" spans="1:16">
      <c r="A8" s="231"/>
      <c r="B8" s="231"/>
      <c r="C8" s="231"/>
      <c r="D8" s="231"/>
      <c r="E8" s="231"/>
      <c r="F8" s="231"/>
      <c r="G8" s="231"/>
      <c r="H8" s="231"/>
      <c r="I8" s="231"/>
      <c r="J8" s="231"/>
      <c r="K8" s="231"/>
      <c r="L8" s="231"/>
      <c r="M8" s="231"/>
      <c r="N8" s="231"/>
      <c r="O8" s="231"/>
      <c r="P8" s="231"/>
    </row>
    <row r="9" spans="1:16">
      <c r="A9" s="231"/>
      <c r="B9" s="231"/>
      <c r="C9" s="231"/>
      <c r="D9" s="231"/>
      <c r="E9" s="231"/>
      <c r="F9" s="231"/>
      <c r="G9" s="231"/>
      <c r="H9" s="231"/>
      <c r="I9" s="231"/>
      <c r="J9" s="231"/>
      <c r="K9" s="231"/>
      <c r="L9" s="231"/>
      <c r="M9" s="231"/>
      <c r="N9" s="231"/>
      <c r="O9" s="231"/>
      <c r="P9" s="231"/>
    </row>
    <row r="10" spans="1:16">
      <c r="A10" s="231"/>
      <c r="B10" s="231"/>
      <c r="C10" s="231"/>
      <c r="D10" s="231"/>
      <c r="E10" s="231"/>
      <c r="F10" s="231"/>
      <c r="G10" s="231"/>
      <c r="H10" s="231"/>
      <c r="I10" s="231"/>
      <c r="J10" s="231"/>
      <c r="K10" s="231"/>
      <c r="L10" s="231"/>
      <c r="M10" s="231"/>
      <c r="N10" s="231"/>
      <c r="O10" s="231"/>
      <c r="P10" s="231"/>
    </row>
    <row r="11" spans="1:16">
      <c r="A11" s="231"/>
      <c r="B11" s="231"/>
      <c r="C11" s="231"/>
      <c r="D11" s="231"/>
      <c r="E11" s="231"/>
      <c r="F11" s="231"/>
      <c r="G11" s="231"/>
      <c r="H11" s="231"/>
      <c r="I11" s="231"/>
      <c r="J11" s="231"/>
      <c r="K11" s="231"/>
      <c r="L11" s="231"/>
      <c r="M11" s="231"/>
      <c r="N11" s="231"/>
      <c r="O11" s="231"/>
      <c r="P11" s="231"/>
    </row>
    <row r="12" spans="1:16">
      <c r="A12" s="231"/>
      <c r="B12" s="231"/>
      <c r="C12" s="231"/>
      <c r="D12" s="231"/>
      <c r="E12" s="231"/>
      <c r="F12" s="231"/>
      <c r="G12" s="231"/>
      <c r="H12" s="231"/>
      <c r="I12" s="231"/>
      <c r="J12" s="231"/>
      <c r="K12" s="231"/>
      <c r="L12" s="231"/>
      <c r="M12" s="231"/>
      <c r="N12" s="231"/>
      <c r="O12" s="231"/>
      <c r="P12" s="231"/>
    </row>
    <row r="13" spans="1:16" ht="15">
      <c r="A13" s="182"/>
      <c r="B13" s="182"/>
      <c r="C13" s="182"/>
      <c r="D13" s="182"/>
      <c r="E13" s="182"/>
      <c r="F13" s="182"/>
      <c r="G13" s="182"/>
      <c r="H13" s="182"/>
      <c r="I13" s="182"/>
      <c r="J13" s="182"/>
      <c r="K13" s="182"/>
      <c r="L13" s="182"/>
      <c r="M13" s="182"/>
      <c r="N13" s="182"/>
      <c r="O13" s="182"/>
      <c r="P13" s="182"/>
    </row>
    <row r="14" spans="1:16">
      <c r="A14" s="231"/>
      <c r="B14" s="232"/>
      <c r="C14" s="233"/>
      <c r="D14" s="233"/>
      <c r="E14" s="233"/>
      <c r="F14" s="233"/>
      <c r="G14" s="233"/>
      <c r="H14" s="233"/>
      <c r="I14" s="233"/>
      <c r="J14" s="233"/>
      <c r="K14" s="233"/>
      <c r="L14" s="233"/>
      <c r="M14" s="179"/>
      <c r="N14" s="231"/>
      <c r="O14" s="231"/>
      <c r="P14" s="231"/>
    </row>
    <row r="15" spans="1:16" ht="15">
      <c r="A15" s="231"/>
      <c r="B15" s="235"/>
      <c r="C15" s="182" t="s">
        <v>202</v>
      </c>
      <c r="D15" s="563" t="s">
        <v>176</v>
      </c>
      <c r="E15" s="563"/>
      <c r="F15" s="563"/>
      <c r="G15" s="182" t="s">
        <v>204</v>
      </c>
      <c r="H15" s="564" t="s">
        <v>170</v>
      </c>
      <c r="I15" s="564"/>
      <c r="J15" s="564"/>
      <c r="K15" s="182"/>
      <c r="L15" s="182"/>
      <c r="M15" s="329"/>
      <c r="N15" s="231"/>
      <c r="O15" s="231"/>
      <c r="P15" s="231"/>
    </row>
    <row r="16" spans="1:16" ht="15">
      <c r="A16" s="231"/>
      <c r="B16" s="235"/>
      <c r="C16" s="184"/>
      <c r="D16" s="184"/>
      <c r="E16" s="184"/>
      <c r="F16" s="184"/>
      <c r="G16" s="184"/>
      <c r="H16" s="184"/>
      <c r="I16" s="184"/>
      <c r="J16" s="184"/>
      <c r="K16" s="182"/>
      <c r="L16" s="182"/>
      <c r="M16" s="185"/>
      <c r="N16" s="231"/>
      <c r="O16" s="231"/>
      <c r="P16" s="231"/>
    </row>
    <row r="17" spans="1:16" ht="15">
      <c r="A17" s="231"/>
      <c r="B17" s="235"/>
      <c r="C17" s="182" t="s">
        <v>203</v>
      </c>
      <c r="D17" s="564" t="s">
        <v>177</v>
      </c>
      <c r="E17" s="564"/>
      <c r="F17" s="564"/>
      <c r="G17" s="182" t="s">
        <v>205</v>
      </c>
      <c r="H17" s="565">
        <v>43285</v>
      </c>
      <c r="I17" s="565"/>
      <c r="J17" s="565"/>
      <c r="K17" s="182"/>
      <c r="L17" s="182"/>
      <c r="M17" s="112"/>
      <c r="N17" s="231"/>
      <c r="O17" s="231"/>
      <c r="P17" s="231"/>
    </row>
    <row r="18" spans="1:16" ht="15">
      <c r="A18" s="231"/>
      <c r="B18" s="235"/>
      <c r="C18" s="182"/>
      <c r="D18" s="182"/>
      <c r="E18" s="182"/>
      <c r="F18" s="182"/>
      <c r="G18" s="182"/>
      <c r="H18" s="182"/>
      <c r="I18" s="182"/>
      <c r="J18" s="182"/>
      <c r="K18" s="182"/>
      <c r="L18" s="182"/>
      <c r="M18" s="112"/>
      <c r="N18" s="231"/>
      <c r="O18" s="231"/>
      <c r="P18" s="231"/>
    </row>
    <row r="19" spans="1:16" ht="20.25">
      <c r="A19" s="231"/>
      <c r="B19" s="235"/>
      <c r="C19" s="562" t="s">
        <v>206</v>
      </c>
      <c r="D19" s="562"/>
      <c r="E19" s="562"/>
      <c r="F19" s="562"/>
      <c r="G19" s="562"/>
      <c r="H19" s="562"/>
      <c r="I19" s="562"/>
      <c r="J19" s="562"/>
      <c r="K19" s="562"/>
      <c r="L19" s="562"/>
      <c r="M19" s="185"/>
      <c r="N19" s="231"/>
      <c r="O19" s="231"/>
      <c r="P19" s="231"/>
    </row>
    <row r="20" spans="1:16" ht="20.25">
      <c r="A20" s="231"/>
      <c r="B20" s="235"/>
      <c r="C20" s="188"/>
      <c r="D20" s="184"/>
      <c r="E20" s="184"/>
      <c r="F20" s="184"/>
      <c r="G20" s="184"/>
      <c r="H20" s="184"/>
      <c r="I20" s="184"/>
      <c r="J20" s="184"/>
      <c r="K20" s="184"/>
      <c r="L20" s="184"/>
      <c r="M20" s="185"/>
      <c r="N20" s="231"/>
      <c r="O20" s="231"/>
      <c r="P20" s="231"/>
    </row>
    <row r="21" spans="1:16" ht="20.25">
      <c r="A21" s="231"/>
      <c r="B21" s="235"/>
      <c r="C21" s="188"/>
      <c r="D21" s="188"/>
      <c r="E21" s="188"/>
      <c r="F21" s="188"/>
      <c r="G21" s="188"/>
      <c r="H21" s="188"/>
      <c r="I21" s="188"/>
      <c r="J21" s="188"/>
      <c r="K21" s="188"/>
      <c r="L21" s="188"/>
      <c r="M21" s="185"/>
      <c r="N21" s="231"/>
      <c r="O21" s="231"/>
      <c r="P21" s="231"/>
    </row>
    <row r="22" spans="1:16" ht="47.25">
      <c r="A22" s="231"/>
      <c r="B22" s="235"/>
      <c r="C22" s="330" t="s">
        <v>207</v>
      </c>
      <c r="D22" s="331" t="s">
        <v>208</v>
      </c>
      <c r="E22" s="331" t="s">
        <v>209</v>
      </c>
      <c r="F22" s="331" t="s">
        <v>210</v>
      </c>
      <c r="G22" s="332" t="s">
        <v>211</v>
      </c>
      <c r="H22" s="333" t="s">
        <v>212</v>
      </c>
      <c r="I22" s="333" t="s">
        <v>213</v>
      </c>
      <c r="J22" s="333" t="s">
        <v>214</v>
      </c>
      <c r="K22" s="333" t="s">
        <v>215</v>
      </c>
      <c r="L22" s="334" t="s">
        <v>216</v>
      </c>
      <c r="M22" s="185"/>
      <c r="N22" s="231"/>
      <c r="O22" s="231"/>
      <c r="P22" s="231"/>
    </row>
    <row r="23" spans="1:16" ht="15.75">
      <c r="A23" s="231"/>
      <c r="B23" s="235"/>
      <c r="C23" s="457" t="s">
        <v>217</v>
      </c>
      <c r="D23" s="458"/>
      <c r="E23" s="458"/>
      <c r="F23" s="458"/>
      <c r="G23" s="458"/>
      <c r="H23" s="458"/>
      <c r="I23" s="458"/>
      <c r="J23" s="458"/>
      <c r="K23" s="458"/>
      <c r="L23" s="459"/>
      <c r="M23" s="185"/>
      <c r="N23" s="231"/>
      <c r="O23" s="231"/>
      <c r="P23" s="231"/>
    </row>
    <row r="24" spans="1:16" ht="15">
      <c r="A24" s="231"/>
      <c r="B24" s="235"/>
      <c r="C24" s="550" t="s">
        <v>218</v>
      </c>
      <c r="D24" s="354">
        <v>1</v>
      </c>
      <c r="E24" s="355">
        <v>15</v>
      </c>
      <c r="F24" s="356">
        <v>220</v>
      </c>
      <c r="G24" s="31">
        <f>D24*E24*F24</f>
        <v>3300</v>
      </c>
      <c r="H24" s="365">
        <v>3</v>
      </c>
      <c r="I24" s="366">
        <v>7</v>
      </c>
      <c r="J24" s="367">
        <v>0.9</v>
      </c>
      <c r="K24" s="55">
        <v>220</v>
      </c>
      <c r="L24" s="34">
        <f>IF(OR(G24=0,K24=""),"0",(G24*H24*(I24/7))/(J24*K24))</f>
        <v>50</v>
      </c>
      <c r="M24" s="185"/>
      <c r="N24" s="231"/>
      <c r="O24" s="231"/>
      <c r="P24" s="231"/>
    </row>
    <row r="25" spans="1:16" ht="15">
      <c r="A25" s="231"/>
      <c r="B25" s="235"/>
      <c r="C25" s="550" t="s">
        <v>219</v>
      </c>
      <c r="D25" s="357">
        <v>1</v>
      </c>
      <c r="E25" s="358">
        <v>5</v>
      </c>
      <c r="F25" s="359">
        <v>220</v>
      </c>
      <c r="G25" s="32">
        <f t="shared" ref="G25:G31" si="0">D25*E25*F25</f>
        <v>1100</v>
      </c>
      <c r="H25" s="368">
        <v>2</v>
      </c>
      <c r="I25" s="369">
        <v>7</v>
      </c>
      <c r="J25" s="370">
        <v>0.9</v>
      </c>
      <c r="K25" s="55">
        <v>220</v>
      </c>
      <c r="L25" s="35">
        <f>IF(OR(G25=0,K25=0),"0",(G25*H25*(I25/7))/(J25*K25))</f>
        <v>11.111111111111111</v>
      </c>
      <c r="M25" s="185"/>
      <c r="N25" s="231"/>
      <c r="O25" s="231"/>
      <c r="P25" s="231"/>
    </row>
    <row r="26" spans="1:16" ht="15">
      <c r="A26" s="231"/>
      <c r="B26" s="235"/>
      <c r="C26" s="550" t="s">
        <v>220</v>
      </c>
      <c r="D26" s="357">
        <v>1</v>
      </c>
      <c r="E26" s="358">
        <v>4.0910000000000002</v>
      </c>
      <c r="F26" s="359">
        <v>220</v>
      </c>
      <c r="G26" s="32">
        <f t="shared" si="0"/>
        <v>900.0200000000001</v>
      </c>
      <c r="H26" s="368">
        <v>2</v>
      </c>
      <c r="I26" s="369">
        <v>7</v>
      </c>
      <c r="J26" s="370">
        <v>0.9</v>
      </c>
      <c r="K26" s="55">
        <v>220</v>
      </c>
      <c r="L26" s="35">
        <f t="shared" ref="L26:L31" si="1">IF(OR(G26=0,K26=0),"0",(G26*H26*(I26/7))/(J26*K26))</f>
        <v>9.0911111111111129</v>
      </c>
      <c r="M26" s="185"/>
      <c r="N26" s="231"/>
      <c r="O26" s="231"/>
      <c r="P26" s="231"/>
    </row>
    <row r="27" spans="1:16" ht="15">
      <c r="A27" s="231"/>
      <c r="B27" s="235"/>
      <c r="C27" s="550" t="s">
        <v>221</v>
      </c>
      <c r="D27" s="357">
        <v>1</v>
      </c>
      <c r="E27" s="358">
        <v>3.637</v>
      </c>
      <c r="F27" s="359">
        <v>220</v>
      </c>
      <c r="G27" s="32">
        <f t="shared" si="0"/>
        <v>800.14</v>
      </c>
      <c r="H27" s="368">
        <v>2</v>
      </c>
      <c r="I27" s="369">
        <v>7</v>
      </c>
      <c r="J27" s="370">
        <v>0.9</v>
      </c>
      <c r="K27" s="55">
        <v>220</v>
      </c>
      <c r="L27" s="35">
        <f t="shared" si="1"/>
        <v>8.0822222222222226</v>
      </c>
      <c r="M27" s="185"/>
      <c r="N27" s="231"/>
      <c r="O27" s="231"/>
      <c r="P27" s="231"/>
    </row>
    <row r="28" spans="1:16" ht="15">
      <c r="A28" s="231"/>
      <c r="B28" s="235"/>
      <c r="C28" s="550" t="s">
        <v>222</v>
      </c>
      <c r="D28" s="357">
        <v>4</v>
      </c>
      <c r="E28" s="358">
        <v>0.2046</v>
      </c>
      <c r="F28" s="359">
        <v>220</v>
      </c>
      <c r="G28" s="32">
        <f t="shared" si="0"/>
        <v>180.048</v>
      </c>
      <c r="H28" s="368">
        <v>2</v>
      </c>
      <c r="I28" s="369">
        <v>7</v>
      </c>
      <c r="J28" s="370">
        <v>0.9</v>
      </c>
      <c r="K28" s="55">
        <v>220</v>
      </c>
      <c r="L28" s="35">
        <f t="shared" si="1"/>
        <v>1.8186666666666667</v>
      </c>
      <c r="M28" s="185"/>
      <c r="N28" s="231"/>
      <c r="O28" s="231"/>
      <c r="P28" s="231"/>
    </row>
    <row r="29" spans="1:16" ht="15">
      <c r="A29" s="231"/>
      <c r="B29" s="235"/>
      <c r="C29" s="360"/>
      <c r="D29" s="357"/>
      <c r="E29" s="358"/>
      <c r="F29" s="359"/>
      <c r="G29" s="32">
        <f>D29*E29*F29</f>
        <v>0</v>
      </c>
      <c r="H29" s="368"/>
      <c r="I29" s="369"/>
      <c r="J29" s="370"/>
      <c r="K29" s="55"/>
      <c r="L29" s="35" t="str">
        <f t="shared" si="1"/>
        <v>0</v>
      </c>
      <c r="M29" s="185"/>
      <c r="N29" s="231"/>
      <c r="O29" s="231"/>
      <c r="P29" s="231"/>
    </row>
    <row r="30" spans="1:16" ht="15">
      <c r="A30" s="231"/>
      <c r="B30" s="235"/>
      <c r="C30" s="360"/>
      <c r="D30" s="357"/>
      <c r="E30" s="358"/>
      <c r="F30" s="359"/>
      <c r="G30" s="32">
        <f>D30*E30*F30</f>
        <v>0</v>
      </c>
      <c r="H30" s="368"/>
      <c r="I30" s="369"/>
      <c r="J30" s="370"/>
      <c r="K30" s="55"/>
      <c r="L30" s="35" t="str">
        <f t="shared" si="1"/>
        <v>0</v>
      </c>
      <c r="M30" s="185"/>
      <c r="N30" s="231"/>
      <c r="O30" s="231"/>
      <c r="P30" s="231"/>
    </row>
    <row r="31" spans="1:16" ht="15">
      <c r="A31" s="231"/>
      <c r="B31" s="235"/>
      <c r="C31" s="361"/>
      <c r="D31" s="362"/>
      <c r="E31" s="363"/>
      <c r="F31" s="364"/>
      <c r="G31" s="33">
        <f t="shared" si="0"/>
        <v>0</v>
      </c>
      <c r="H31" s="371"/>
      <c r="I31" s="372"/>
      <c r="J31" s="373"/>
      <c r="K31" s="55"/>
      <c r="L31" s="35" t="str">
        <f t="shared" si="1"/>
        <v>0</v>
      </c>
      <c r="M31" s="185"/>
      <c r="N31" s="231"/>
      <c r="O31" s="231"/>
      <c r="P31" s="231"/>
    </row>
    <row r="32" spans="1:16" ht="15.75">
      <c r="A32" s="231"/>
      <c r="B32" s="235"/>
      <c r="C32" s="457" t="s">
        <v>223</v>
      </c>
      <c r="D32" s="458"/>
      <c r="E32" s="458"/>
      <c r="F32" s="458"/>
      <c r="G32" s="458"/>
      <c r="H32" s="458"/>
      <c r="I32" s="458"/>
      <c r="J32" s="458"/>
      <c r="K32" s="458"/>
      <c r="L32" s="459"/>
      <c r="M32" s="185"/>
      <c r="N32" s="231"/>
      <c r="O32" s="231"/>
      <c r="P32" s="231"/>
    </row>
    <row r="33" spans="1:16" ht="15">
      <c r="A33" s="231"/>
      <c r="B33" s="235"/>
      <c r="C33" s="551" t="s">
        <v>224</v>
      </c>
      <c r="D33" s="374">
        <v>8</v>
      </c>
      <c r="E33" s="375">
        <v>0.20830000000000001</v>
      </c>
      <c r="F33" s="376">
        <v>24</v>
      </c>
      <c r="G33" s="31">
        <f>(F33*E33*D33)</f>
        <v>39.993600000000001</v>
      </c>
      <c r="H33" s="383">
        <v>1.5</v>
      </c>
      <c r="I33" s="374">
        <v>7</v>
      </c>
      <c r="J33" s="375">
        <v>0.95</v>
      </c>
      <c r="K33" s="55">
        <v>24</v>
      </c>
      <c r="L33" s="34">
        <f t="shared" ref="L33:L41" si="2">IF(G33=0,"0",(G33*H33*(I33/7))/(J33*K33))</f>
        <v>2.6311578947368424</v>
      </c>
      <c r="M33" s="185"/>
      <c r="N33" s="231"/>
      <c r="O33" s="231"/>
      <c r="P33" s="231"/>
    </row>
    <row r="34" spans="1:16" ht="15">
      <c r="A34" s="231"/>
      <c r="B34" s="235"/>
      <c r="C34" s="551" t="s">
        <v>225</v>
      </c>
      <c r="D34" s="369">
        <v>4</v>
      </c>
      <c r="E34" s="370">
        <v>0.20830000000000001</v>
      </c>
      <c r="F34" s="377">
        <v>24</v>
      </c>
      <c r="G34" s="32">
        <f t="shared" ref="G34:G41" si="3">(F34*E34*D34)</f>
        <v>19.9968</v>
      </c>
      <c r="H34" s="368">
        <v>3.5</v>
      </c>
      <c r="I34" s="369">
        <v>7</v>
      </c>
      <c r="J34" s="370">
        <v>0.95</v>
      </c>
      <c r="K34" s="55">
        <v>24</v>
      </c>
      <c r="L34" s="35">
        <f t="shared" si="2"/>
        <v>3.069684210526316</v>
      </c>
      <c r="M34" s="185"/>
      <c r="N34" s="231"/>
      <c r="O34" s="231"/>
      <c r="P34" s="231"/>
    </row>
    <row r="35" spans="1:16" ht="15">
      <c r="A35" s="231"/>
      <c r="B35" s="235"/>
      <c r="C35" s="551" t="s">
        <v>226</v>
      </c>
      <c r="D35" s="369">
        <v>2</v>
      </c>
      <c r="E35" s="370">
        <v>1</v>
      </c>
      <c r="F35" s="377">
        <v>24</v>
      </c>
      <c r="G35" s="32">
        <f t="shared" si="3"/>
        <v>48</v>
      </c>
      <c r="H35" s="368">
        <v>1.5</v>
      </c>
      <c r="I35" s="369">
        <v>7</v>
      </c>
      <c r="J35" s="370">
        <v>0.95</v>
      </c>
      <c r="K35" s="55">
        <v>24</v>
      </c>
      <c r="L35" s="35">
        <f t="shared" si="2"/>
        <v>3.1578947368421058</v>
      </c>
      <c r="M35" s="185"/>
      <c r="N35" s="231"/>
      <c r="O35" s="231"/>
      <c r="P35" s="231"/>
    </row>
    <row r="36" spans="1:16" ht="15">
      <c r="A36" s="231"/>
      <c r="B36" s="235"/>
      <c r="C36" s="551" t="s">
        <v>227</v>
      </c>
      <c r="D36" s="369">
        <v>4</v>
      </c>
      <c r="E36" s="370">
        <v>1</v>
      </c>
      <c r="F36" s="377">
        <v>24</v>
      </c>
      <c r="G36" s="32">
        <f t="shared" si="3"/>
        <v>96</v>
      </c>
      <c r="H36" s="368">
        <v>2.5</v>
      </c>
      <c r="I36" s="369">
        <v>7</v>
      </c>
      <c r="J36" s="370">
        <v>0.95</v>
      </c>
      <c r="K36" s="55">
        <v>24</v>
      </c>
      <c r="L36" s="35">
        <f t="shared" si="2"/>
        <v>10.526315789473685</v>
      </c>
      <c r="M36" s="185"/>
      <c r="N36" s="231"/>
      <c r="O36" s="231"/>
      <c r="P36" s="231"/>
    </row>
    <row r="37" spans="1:16" ht="15">
      <c r="A37" s="231"/>
      <c r="B37" s="235"/>
      <c r="C37" s="551" t="s">
        <v>228</v>
      </c>
      <c r="D37" s="369">
        <v>10</v>
      </c>
      <c r="E37" s="370">
        <v>0.20830000000000001</v>
      </c>
      <c r="F37" s="377">
        <v>24</v>
      </c>
      <c r="G37" s="32">
        <f t="shared" si="3"/>
        <v>49.992000000000004</v>
      </c>
      <c r="H37" s="368">
        <v>5</v>
      </c>
      <c r="I37" s="369">
        <v>7</v>
      </c>
      <c r="J37" s="370">
        <v>0.95</v>
      </c>
      <c r="K37" s="55">
        <v>24</v>
      </c>
      <c r="L37" s="35">
        <f t="shared" si="2"/>
        <v>10.963157894736845</v>
      </c>
      <c r="M37" s="185"/>
      <c r="N37" s="231"/>
      <c r="O37" s="231"/>
      <c r="P37" s="231"/>
    </row>
    <row r="38" spans="1:16" ht="15">
      <c r="A38" s="231"/>
      <c r="B38" s="235"/>
      <c r="C38" s="378"/>
      <c r="D38" s="369"/>
      <c r="E38" s="370"/>
      <c r="F38" s="377"/>
      <c r="G38" s="32">
        <f t="shared" si="3"/>
        <v>0</v>
      </c>
      <c r="H38" s="368"/>
      <c r="I38" s="369"/>
      <c r="J38" s="370"/>
      <c r="K38" s="55"/>
      <c r="L38" s="35" t="str">
        <f t="shared" si="2"/>
        <v>0</v>
      </c>
      <c r="M38" s="185"/>
      <c r="N38" s="231"/>
      <c r="O38" s="231"/>
      <c r="P38" s="231"/>
    </row>
    <row r="39" spans="1:16" ht="15">
      <c r="A39" s="231"/>
      <c r="B39" s="235"/>
      <c r="C39" s="378"/>
      <c r="D39" s="369"/>
      <c r="E39" s="370"/>
      <c r="F39" s="377"/>
      <c r="G39" s="32">
        <f t="shared" si="3"/>
        <v>0</v>
      </c>
      <c r="H39" s="368"/>
      <c r="I39" s="369"/>
      <c r="J39" s="370"/>
      <c r="K39" s="55"/>
      <c r="L39" s="35" t="str">
        <f t="shared" si="2"/>
        <v>0</v>
      </c>
      <c r="M39" s="185"/>
      <c r="N39" s="231"/>
      <c r="O39" s="231"/>
      <c r="P39" s="231"/>
    </row>
    <row r="40" spans="1:16" ht="15">
      <c r="A40" s="231"/>
      <c r="B40" s="235"/>
      <c r="C40" s="378"/>
      <c r="D40" s="369"/>
      <c r="E40" s="370"/>
      <c r="F40" s="377"/>
      <c r="G40" s="32">
        <f t="shared" si="3"/>
        <v>0</v>
      </c>
      <c r="H40" s="368"/>
      <c r="I40" s="369"/>
      <c r="J40" s="370"/>
      <c r="K40" s="55"/>
      <c r="L40" s="35" t="str">
        <f t="shared" si="2"/>
        <v>0</v>
      </c>
      <c r="M40" s="185"/>
      <c r="N40" s="231"/>
      <c r="O40" s="231"/>
      <c r="P40" s="231"/>
    </row>
    <row r="41" spans="1:16" ht="15">
      <c r="A41" s="231"/>
      <c r="B41" s="235"/>
      <c r="C41" s="379"/>
      <c r="D41" s="380"/>
      <c r="E41" s="381"/>
      <c r="F41" s="382"/>
      <c r="G41" s="33">
        <f t="shared" si="3"/>
        <v>0</v>
      </c>
      <c r="H41" s="384"/>
      <c r="I41" s="385"/>
      <c r="J41" s="381"/>
      <c r="K41" s="55"/>
      <c r="L41" s="36" t="str">
        <f t="shared" si="2"/>
        <v>0</v>
      </c>
      <c r="M41" s="185"/>
      <c r="N41" s="231"/>
      <c r="O41" s="231"/>
      <c r="P41" s="231"/>
    </row>
    <row r="42" spans="1:16" ht="45">
      <c r="A42" s="231"/>
      <c r="B42" s="235"/>
      <c r="C42" s="184"/>
      <c r="D42" s="184"/>
      <c r="E42" s="184"/>
      <c r="F42" s="335" t="s">
        <v>229</v>
      </c>
      <c r="G42" s="30">
        <f>SUM(G24:G31,G33:G41)</f>
        <v>6534.1904000000004</v>
      </c>
      <c r="H42" s="336"/>
      <c r="I42" s="337"/>
      <c r="J42" s="184"/>
      <c r="K42" s="338" t="s">
        <v>230</v>
      </c>
      <c r="L42" s="30">
        <f>SUM(L24:L31,L33:L41)</f>
        <v>110.45132163742693</v>
      </c>
      <c r="M42" s="185"/>
      <c r="N42" s="231"/>
      <c r="O42" s="231"/>
      <c r="P42" s="231"/>
    </row>
    <row r="43" spans="1:16">
      <c r="A43" s="231"/>
      <c r="B43" s="235"/>
      <c r="C43" s="184"/>
      <c r="D43" s="184"/>
      <c r="E43" s="184"/>
      <c r="F43" s="184"/>
      <c r="G43" s="184"/>
      <c r="H43" s="184"/>
      <c r="I43" s="184"/>
      <c r="J43" s="184"/>
      <c r="K43" s="184"/>
      <c r="L43" s="184"/>
      <c r="M43" s="185"/>
      <c r="N43" s="231"/>
      <c r="O43" s="231"/>
      <c r="P43" s="231"/>
    </row>
    <row r="44" spans="1:16">
      <c r="A44" s="231"/>
      <c r="B44" s="235"/>
      <c r="C44" s="184"/>
      <c r="D44" s="184"/>
      <c r="E44" s="184"/>
      <c r="F44" s="184"/>
      <c r="G44" s="184"/>
      <c r="H44" s="184"/>
      <c r="I44" s="184"/>
      <c r="J44" s="184"/>
      <c r="K44" s="339"/>
      <c r="L44" s="184"/>
      <c r="M44" s="185"/>
      <c r="N44" s="231"/>
      <c r="O44" s="231"/>
      <c r="P44" s="231"/>
    </row>
    <row r="45" spans="1:16" ht="60">
      <c r="A45" s="231"/>
      <c r="B45" s="235"/>
      <c r="C45" s="184"/>
      <c r="D45" s="340" t="s">
        <v>231</v>
      </c>
      <c r="E45" s="341" t="s">
        <v>232</v>
      </c>
      <c r="F45" s="341" t="s">
        <v>233</v>
      </c>
      <c r="G45" s="341" t="s">
        <v>234</v>
      </c>
      <c r="H45" s="341" t="s">
        <v>235</v>
      </c>
      <c r="I45" s="342" t="s">
        <v>236</v>
      </c>
      <c r="J45" s="342" t="s">
        <v>237</v>
      </c>
      <c r="K45" s="343" t="s">
        <v>238</v>
      </c>
      <c r="L45" s="344"/>
      <c r="M45" s="185"/>
      <c r="N45" s="231"/>
      <c r="O45" s="231"/>
      <c r="P45" s="231"/>
    </row>
    <row r="46" spans="1:16" ht="21">
      <c r="A46" s="231"/>
      <c r="B46" s="235"/>
      <c r="C46" s="184"/>
      <c r="D46" s="39">
        <f>SUM(G33:G41)</f>
        <v>253.98239999999998</v>
      </c>
      <c r="E46" s="40">
        <f>SUM(G24:G31)</f>
        <v>6280.2080000000005</v>
      </c>
      <c r="F46" s="41">
        <f>IF(K24="",K33,K24)</f>
        <v>220</v>
      </c>
      <c r="G46" s="42">
        <f>IF(F46=0,"0",G42/F46)</f>
        <v>29.700865454545458</v>
      </c>
      <c r="H46" s="42">
        <f>$L$42</f>
        <v>110.45132163742693</v>
      </c>
      <c r="I46" s="345">
        <v>0.98</v>
      </c>
      <c r="J46" s="346">
        <v>0.95</v>
      </c>
      <c r="K46" s="127">
        <f>(H46/(I46*J46))</f>
        <v>118.63729499186567</v>
      </c>
      <c r="L46" s="344"/>
      <c r="M46" s="185"/>
      <c r="N46" s="231"/>
      <c r="O46" s="231"/>
      <c r="P46" s="231"/>
    </row>
    <row r="47" spans="1:16">
      <c r="A47" s="231"/>
      <c r="B47" s="180"/>
      <c r="C47" s="184"/>
      <c r="D47" s="184"/>
      <c r="E47" s="184"/>
      <c r="F47" s="184"/>
      <c r="G47" s="184"/>
      <c r="H47" s="184"/>
      <c r="I47" s="184"/>
      <c r="J47" s="184"/>
      <c r="K47" s="184"/>
      <c r="L47" s="184"/>
      <c r="M47" s="185"/>
      <c r="N47" s="231"/>
      <c r="O47" s="231"/>
      <c r="P47" s="231"/>
    </row>
    <row r="48" spans="1:16">
      <c r="A48" s="231"/>
      <c r="B48" s="258"/>
      <c r="C48" s="259"/>
      <c r="D48" s="259"/>
      <c r="E48" s="259"/>
      <c r="F48" s="259"/>
      <c r="G48" s="259"/>
      <c r="H48" s="259"/>
      <c r="I48" s="259"/>
      <c r="J48" s="259"/>
      <c r="K48" s="259"/>
      <c r="L48" s="259"/>
      <c r="M48" s="260"/>
      <c r="N48" s="231"/>
      <c r="O48" s="231"/>
      <c r="P48" s="231"/>
    </row>
    <row r="49" spans="1:16">
      <c r="A49" s="231"/>
      <c r="B49" s="231"/>
      <c r="C49" s="231"/>
      <c r="D49" s="231"/>
      <c r="E49" s="231"/>
      <c r="F49" s="231"/>
      <c r="G49" s="231"/>
      <c r="H49" s="231"/>
      <c r="I49" s="231"/>
      <c r="J49" s="231"/>
      <c r="K49" s="231"/>
      <c r="L49" s="231"/>
      <c r="M49" s="231"/>
      <c r="N49" s="231"/>
      <c r="O49" s="231"/>
      <c r="P49" s="231"/>
    </row>
    <row r="50" spans="1:16">
      <c r="A50" s="231"/>
      <c r="B50" s="231"/>
      <c r="C50" s="231"/>
      <c r="D50" s="231"/>
      <c r="E50" s="231"/>
      <c r="F50" s="231"/>
      <c r="G50" s="231"/>
      <c r="H50" s="231"/>
      <c r="I50" s="231"/>
      <c r="J50" s="231"/>
      <c r="K50" s="231"/>
      <c r="L50" s="231"/>
      <c r="M50" s="231"/>
      <c r="N50" s="231"/>
      <c r="O50" s="231"/>
      <c r="P50" s="231"/>
    </row>
    <row r="51" spans="1:16">
      <c r="A51" s="231"/>
      <c r="B51" s="231"/>
      <c r="C51" s="231"/>
      <c r="D51" s="231"/>
      <c r="E51" s="231"/>
      <c r="F51" s="231"/>
      <c r="G51" s="231"/>
      <c r="H51" s="231"/>
      <c r="I51" s="231"/>
      <c r="J51" s="231"/>
      <c r="K51" s="231"/>
      <c r="L51" s="231"/>
      <c r="M51" s="231"/>
      <c r="N51" s="231"/>
      <c r="O51" s="231"/>
      <c r="P51" s="231"/>
    </row>
    <row r="52" spans="1:16">
      <c r="A52" s="231"/>
      <c r="B52" s="231"/>
      <c r="C52" s="231"/>
      <c r="D52" s="231"/>
      <c r="E52" s="231"/>
      <c r="F52" s="231"/>
      <c r="G52" s="231"/>
      <c r="H52" s="231"/>
      <c r="I52" s="231"/>
      <c r="J52" s="231"/>
      <c r="K52" s="231"/>
      <c r="L52" s="231"/>
      <c r="M52" s="231"/>
      <c r="N52" s="231"/>
      <c r="O52" s="231"/>
      <c r="P52" s="231"/>
    </row>
    <row r="53" spans="1:16">
      <c r="A53" s="231"/>
      <c r="B53" s="231"/>
      <c r="C53" s="231"/>
      <c r="D53" s="231"/>
      <c r="E53" s="231"/>
      <c r="F53" s="231"/>
      <c r="G53" s="231"/>
      <c r="H53" s="231"/>
      <c r="I53" s="231"/>
      <c r="J53" s="231"/>
      <c r="K53" s="231"/>
      <c r="L53" s="231"/>
      <c r="M53" s="231"/>
      <c r="N53" s="231"/>
      <c r="O53" s="231"/>
      <c r="P53" s="231"/>
    </row>
    <row r="54" spans="1:16">
      <c r="A54" s="231"/>
      <c r="B54" s="231"/>
      <c r="C54" s="231"/>
      <c r="D54" s="231"/>
      <c r="E54" s="231"/>
      <c r="F54" s="231"/>
      <c r="G54" s="231"/>
      <c r="H54" s="231"/>
      <c r="I54" s="231"/>
      <c r="J54" s="231"/>
      <c r="K54" s="231"/>
      <c r="L54" s="231"/>
      <c r="M54" s="231"/>
      <c r="N54" s="231"/>
      <c r="O54" s="231"/>
      <c r="P54" s="231"/>
    </row>
    <row r="55" spans="1:16">
      <c r="A55" s="231"/>
      <c r="B55" s="231"/>
      <c r="C55" s="231"/>
      <c r="D55" s="231"/>
      <c r="E55" s="231"/>
      <c r="F55" s="231"/>
      <c r="G55" s="231"/>
      <c r="H55" s="231"/>
      <c r="I55" s="231"/>
      <c r="J55" s="231"/>
      <c r="K55" s="231"/>
      <c r="L55" s="231"/>
      <c r="M55" s="231"/>
      <c r="N55" s="231"/>
      <c r="O55" s="231"/>
      <c r="P55" s="231"/>
    </row>
    <row r="56" spans="1:16">
      <c r="A56" s="231"/>
      <c r="B56" s="231"/>
      <c r="C56" s="231"/>
      <c r="D56" s="231"/>
      <c r="E56" s="231"/>
      <c r="F56" s="231"/>
      <c r="G56" s="231"/>
      <c r="H56" s="231"/>
      <c r="I56" s="231"/>
      <c r="J56" s="231"/>
      <c r="K56" s="231"/>
      <c r="L56" s="231"/>
      <c r="M56" s="231"/>
      <c r="N56" s="231"/>
      <c r="O56" s="231"/>
      <c r="P56" s="231"/>
    </row>
    <row r="57" spans="1:16">
      <c r="A57" s="231"/>
      <c r="B57" s="231"/>
      <c r="C57" s="231"/>
      <c r="D57" s="231"/>
      <c r="E57" s="231"/>
      <c r="F57" s="231"/>
      <c r="G57" s="231"/>
      <c r="H57" s="231"/>
      <c r="I57" s="231"/>
      <c r="J57" s="231"/>
      <c r="K57" s="231"/>
      <c r="L57" s="231"/>
      <c r="M57" s="231"/>
      <c r="N57" s="231"/>
      <c r="O57" s="231"/>
      <c r="P57" s="231"/>
    </row>
    <row r="58" spans="1:16">
      <c r="A58" s="231"/>
      <c r="B58" s="231"/>
      <c r="C58" s="231"/>
      <c r="D58" s="231"/>
      <c r="E58" s="231"/>
      <c r="F58" s="231"/>
      <c r="G58" s="231"/>
      <c r="H58" s="231"/>
      <c r="I58" s="231"/>
      <c r="J58" s="231"/>
      <c r="K58" s="231"/>
      <c r="L58" s="231"/>
      <c r="M58" s="231"/>
      <c r="N58" s="231"/>
      <c r="O58" s="231"/>
      <c r="P58" s="231"/>
    </row>
    <row r="59" spans="1:16">
      <c r="A59" s="231"/>
      <c r="B59" s="231"/>
      <c r="C59" s="231"/>
      <c r="D59" s="231"/>
      <c r="E59" s="231"/>
      <c r="F59" s="231"/>
      <c r="G59" s="231"/>
      <c r="H59" s="231"/>
      <c r="I59" s="231"/>
      <c r="J59" s="231"/>
      <c r="K59" s="231"/>
      <c r="L59" s="231"/>
      <c r="M59" s="231"/>
      <c r="N59" s="231"/>
      <c r="O59" s="231"/>
      <c r="P59" s="231"/>
    </row>
    <row r="60" spans="1:16">
      <c r="A60" s="231"/>
      <c r="B60" s="231"/>
      <c r="C60" s="231"/>
      <c r="D60" s="231"/>
      <c r="E60" s="231"/>
      <c r="F60" s="231"/>
      <c r="G60" s="231"/>
      <c r="H60" s="231"/>
      <c r="I60" s="231"/>
      <c r="J60" s="231"/>
      <c r="K60" s="231"/>
      <c r="L60" s="231"/>
      <c r="M60" s="231"/>
      <c r="N60" s="231"/>
      <c r="O60" s="231"/>
      <c r="P60" s="231"/>
    </row>
    <row r="61" spans="1:16">
      <c r="A61" s="231"/>
      <c r="B61" s="231"/>
      <c r="C61" s="231"/>
      <c r="D61" s="231"/>
      <c r="E61" s="231"/>
      <c r="F61" s="231"/>
      <c r="G61" s="231"/>
      <c r="H61" s="231"/>
      <c r="I61" s="231"/>
      <c r="J61" s="231"/>
      <c r="K61" s="231"/>
      <c r="L61" s="231"/>
      <c r="M61" s="231"/>
      <c r="N61" s="231"/>
      <c r="O61" s="231"/>
      <c r="P61" s="231"/>
    </row>
    <row r="62" spans="1:16">
      <c r="A62" s="231"/>
      <c r="B62" s="231"/>
      <c r="C62" s="231"/>
      <c r="D62" s="231"/>
      <c r="E62" s="231"/>
      <c r="F62" s="231"/>
      <c r="G62" s="231"/>
      <c r="H62" s="231"/>
      <c r="I62" s="231"/>
      <c r="J62" s="231"/>
      <c r="K62" s="231"/>
      <c r="L62" s="231"/>
      <c r="M62" s="231"/>
      <c r="N62" s="231"/>
      <c r="O62" s="231"/>
      <c r="P62" s="231"/>
    </row>
    <row r="63" spans="1:16">
      <c r="A63" s="231"/>
      <c r="B63" s="231"/>
      <c r="C63" s="231"/>
      <c r="D63" s="231"/>
      <c r="E63" s="231"/>
      <c r="F63" s="231"/>
      <c r="G63" s="231"/>
      <c r="H63" s="231"/>
      <c r="I63" s="231"/>
      <c r="J63" s="231"/>
      <c r="K63" s="231"/>
      <c r="L63" s="231"/>
      <c r="M63" s="231"/>
      <c r="N63" s="231"/>
      <c r="O63" s="231"/>
      <c r="P63" s="231"/>
    </row>
    <row r="64" spans="1:16">
      <c r="A64" s="231"/>
      <c r="B64" s="231"/>
      <c r="C64" s="231"/>
      <c r="D64" s="231"/>
      <c r="E64" s="231"/>
      <c r="F64" s="231"/>
      <c r="G64" s="231"/>
      <c r="H64" s="231"/>
      <c r="I64" s="231"/>
      <c r="J64" s="231"/>
      <c r="K64" s="231"/>
      <c r="L64" s="231"/>
      <c r="M64" s="231"/>
      <c r="N64" s="231"/>
      <c r="O64" s="231"/>
      <c r="P64" s="231"/>
    </row>
    <row r="65" spans="1:16">
      <c r="A65" s="231"/>
      <c r="B65" s="231"/>
      <c r="C65" s="231"/>
      <c r="D65" s="231"/>
      <c r="E65" s="231"/>
      <c r="F65" s="231"/>
      <c r="G65" s="231"/>
      <c r="H65" s="231"/>
      <c r="I65" s="231"/>
      <c r="J65" s="231"/>
      <c r="K65" s="231"/>
      <c r="L65" s="231"/>
      <c r="M65" s="231"/>
      <c r="N65" s="231"/>
      <c r="O65" s="231"/>
      <c r="P65" s="231"/>
    </row>
    <row r="66" spans="1:16">
      <c r="A66" s="231"/>
      <c r="B66" s="231"/>
      <c r="C66" s="231"/>
      <c r="D66" s="231"/>
      <c r="E66" s="231"/>
      <c r="F66" s="231"/>
      <c r="G66" s="231"/>
      <c r="H66" s="231"/>
      <c r="I66" s="231"/>
      <c r="J66" s="231"/>
      <c r="K66" s="231"/>
      <c r="L66" s="231"/>
      <c r="M66" s="231"/>
      <c r="N66" s="231"/>
      <c r="O66" s="231"/>
      <c r="P66" s="231"/>
    </row>
    <row r="67" spans="1:16">
      <c r="A67" s="231"/>
      <c r="B67" s="231"/>
      <c r="C67" s="231"/>
      <c r="D67" s="231"/>
      <c r="E67" s="231"/>
      <c r="F67" s="231"/>
      <c r="G67" s="231"/>
      <c r="H67" s="231"/>
      <c r="I67" s="231"/>
      <c r="J67" s="231"/>
      <c r="K67" s="231"/>
      <c r="L67" s="231"/>
      <c r="M67" s="231"/>
      <c r="N67" s="231"/>
      <c r="O67" s="231"/>
      <c r="P67" s="231"/>
    </row>
    <row r="68" spans="1:16">
      <c r="A68" s="231"/>
      <c r="B68" s="231"/>
      <c r="C68" s="231"/>
      <c r="D68" s="231"/>
      <c r="E68" s="231"/>
      <c r="F68" s="231"/>
      <c r="G68" s="231"/>
      <c r="H68" s="231"/>
      <c r="I68" s="231"/>
      <c r="J68" s="231"/>
      <c r="K68" s="231"/>
      <c r="L68" s="231"/>
      <c r="M68" s="231"/>
      <c r="N68" s="231"/>
      <c r="O68" s="231"/>
      <c r="P68" s="231"/>
    </row>
    <row r="69" spans="1:16">
      <c r="A69" s="231"/>
      <c r="B69" s="231"/>
      <c r="C69" s="231"/>
      <c r="D69" s="231"/>
      <c r="E69" s="231"/>
      <c r="F69" s="231"/>
      <c r="G69" s="231"/>
      <c r="H69" s="231"/>
      <c r="I69" s="231"/>
      <c r="J69" s="231"/>
      <c r="K69" s="231"/>
      <c r="L69" s="231"/>
      <c r="M69" s="231"/>
      <c r="N69" s="231"/>
      <c r="O69" s="231"/>
      <c r="P69" s="231"/>
    </row>
    <row r="70" spans="1:16">
      <c r="A70" s="231"/>
      <c r="B70" s="231"/>
      <c r="C70" s="231"/>
      <c r="D70" s="231"/>
      <c r="E70" s="231"/>
      <c r="F70" s="231"/>
      <c r="G70" s="231"/>
      <c r="H70" s="231"/>
      <c r="I70" s="231"/>
      <c r="J70" s="231"/>
      <c r="K70" s="231"/>
      <c r="L70" s="231"/>
      <c r="M70" s="231"/>
      <c r="N70" s="231"/>
      <c r="O70" s="231"/>
      <c r="P70" s="231"/>
    </row>
    <row r="71" spans="1:16">
      <c r="A71" s="231"/>
      <c r="B71" s="231"/>
      <c r="C71" s="231"/>
      <c r="D71" s="231"/>
      <c r="E71" s="231"/>
      <c r="F71" s="231"/>
      <c r="G71" s="231"/>
      <c r="H71" s="231"/>
      <c r="I71" s="231"/>
      <c r="J71" s="231"/>
      <c r="K71" s="231"/>
      <c r="L71" s="231"/>
      <c r="M71" s="231"/>
      <c r="N71" s="231"/>
      <c r="O71" s="231"/>
      <c r="P71" s="231"/>
    </row>
    <row r="72" spans="1:16">
      <c r="A72" s="231"/>
      <c r="B72" s="231"/>
      <c r="C72" s="231"/>
      <c r="D72" s="231"/>
      <c r="E72" s="231"/>
      <c r="F72" s="231"/>
      <c r="G72" s="231"/>
      <c r="H72" s="231"/>
      <c r="I72" s="231"/>
      <c r="J72" s="231"/>
      <c r="K72" s="231"/>
      <c r="L72" s="231"/>
      <c r="M72" s="231"/>
      <c r="N72" s="231"/>
      <c r="O72" s="231"/>
      <c r="P72" s="231"/>
    </row>
    <row r="73" spans="1:16">
      <c r="A73" s="231"/>
      <c r="B73" s="231"/>
      <c r="C73" s="231"/>
      <c r="D73" s="231"/>
      <c r="E73" s="231"/>
      <c r="F73" s="231"/>
      <c r="G73" s="231"/>
      <c r="H73" s="231"/>
      <c r="I73" s="231"/>
      <c r="J73" s="231"/>
      <c r="K73" s="231"/>
      <c r="L73" s="231"/>
      <c r="M73" s="231"/>
      <c r="N73" s="231"/>
      <c r="O73" s="231"/>
      <c r="P73" s="231"/>
    </row>
    <row r="74" spans="1:16">
      <c r="A74" s="231"/>
      <c r="B74" s="231"/>
      <c r="C74" s="231"/>
      <c r="D74" s="231"/>
      <c r="E74" s="231"/>
      <c r="F74" s="231"/>
      <c r="G74" s="231"/>
      <c r="H74" s="231"/>
      <c r="I74" s="231"/>
      <c r="J74" s="231"/>
      <c r="K74" s="231"/>
      <c r="L74" s="231"/>
      <c r="M74" s="231"/>
      <c r="N74" s="231"/>
      <c r="O74" s="231"/>
      <c r="P74" s="231"/>
    </row>
    <row r="75" spans="1:16">
      <c r="A75" s="231"/>
      <c r="B75" s="231"/>
      <c r="C75" s="231"/>
      <c r="D75" s="231"/>
      <c r="E75" s="231"/>
      <c r="F75" s="231"/>
      <c r="G75" s="231"/>
      <c r="H75" s="231"/>
      <c r="I75" s="231"/>
      <c r="J75" s="231"/>
      <c r="K75" s="231"/>
      <c r="L75" s="231"/>
      <c r="M75" s="231"/>
      <c r="N75" s="231"/>
      <c r="O75" s="231"/>
      <c r="P75" s="231"/>
    </row>
    <row r="76" spans="1:16">
      <c r="A76" s="231"/>
      <c r="B76" s="231"/>
      <c r="C76" s="231"/>
      <c r="D76" s="231"/>
      <c r="E76" s="231"/>
      <c r="F76" s="231"/>
      <c r="G76" s="231"/>
      <c r="H76" s="231"/>
      <c r="I76" s="231"/>
      <c r="J76" s="231"/>
      <c r="K76" s="231"/>
      <c r="L76" s="231"/>
      <c r="M76" s="231"/>
      <c r="N76" s="231"/>
      <c r="O76" s="231"/>
      <c r="P76" s="231"/>
    </row>
    <row r="77" spans="1:16">
      <c r="A77" s="231"/>
      <c r="B77" s="231"/>
      <c r="C77" s="231"/>
      <c r="D77" s="231"/>
      <c r="E77" s="231"/>
      <c r="F77" s="231"/>
      <c r="G77" s="231"/>
      <c r="H77" s="231"/>
      <c r="I77" s="231"/>
      <c r="J77" s="231"/>
      <c r="K77" s="231"/>
      <c r="L77" s="231"/>
      <c r="M77" s="231"/>
      <c r="N77" s="231"/>
      <c r="O77" s="231"/>
      <c r="P77" s="231"/>
    </row>
    <row r="78" spans="1:16">
      <c r="A78" s="231"/>
      <c r="B78" s="231"/>
      <c r="C78" s="231"/>
      <c r="D78" s="231"/>
      <c r="E78" s="231"/>
      <c r="F78" s="231"/>
      <c r="G78" s="231"/>
      <c r="H78" s="231"/>
      <c r="I78" s="231"/>
      <c r="J78" s="231"/>
      <c r="K78" s="231"/>
      <c r="L78" s="231"/>
      <c r="M78" s="231"/>
      <c r="N78" s="231"/>
      <c r="O78" s="231"/>
      <c r="P78" s="231"/>
    </row>
    <row r="79" spans="1:16">
      <c r="A79" s="231"/>
      <c r="B79" s="231"/>
      <c r="C79" s="231"/>
      <c r="D79" s="231"/>
      <c r="E79" s="231"/>
      <c r="F79" s="231"/>
      <c r="G79" s="231"/>
      <c r="H79" s="231"/>
      <c r="I79" s="231"/>
      <c r="J79" s="231"/>
      <c r="K79" s="231"/>
      <c r="L79" s="231"/>
      <c r="M79" s="231"/>
      <c r="N79" s="231"/>
      <c r="O79" s="231"/>
      <c r="P79" s="231"/>
    </row>
    <row r="80" spans="1:16">
      <c r="A80" s="231"/>
      <c r="B80" s="231"/>
      <c r="C80" s="184"/>
      <c r="D80" s="184"/>
      <c r="E80" s="184"/>
      <c r="F80" s="184"/>
      <c r="G80" s="184"/>
      <c r="H80" s="184"/>
      <c r="I80" s="184"/>
      <c r="J80" s="184"/>
      <c r="K80" s="184"/>
      <c r="L80" s="184"/>
      <c r="M80" s="231"/>
      <c r="N80" s="231"/>
      <c r="O80" s="231"/>
      <c r="P80" s="231"/>
    </row>
    <row r="81" spans="1:18">
      <c r="A81" s="231"/>
      <c r="B81" s="231"/>
      <c r="C81" s="184"/>
      <c r="D81" s="184"/>
      <c r="E81" s="184"/>
      <c r="F81" s="184"/>
      <c r="G81" s="184"/>
      <c r="H81" s="184"/>
      <c r="I81" s="184"/>
      <c r="J81" s="184"/>
      <c r="K81" s="184"/>
      <c r="L81" s="184"/>
      <c r="M81" s="231"/>
      <c r="N81" s="231"/>
      <c r="O81" s="231"/>
      <c r="P81" s="231"/>
    </row>
    <row r="82" spans="1:18">
      <c r="A82" s="231"/>
      <c r="B82" s="231"/>
      <c r="C82" s="184"/>
      <c r="D82" s="184"/>
      <c r="E82" s="184"/>
      <c r="F82" s="184"/>
      <c r="G82" s="184"/>
      <c r="H82" s="184"/>
      <c r="I82" s="184"/>
      <c r="J82" s="184"/>
      <c r="K82" s="184"/>
      <c r="L82" s="184"/>
      <c r="M82" s="231"/>
      <c r="N82" s="231"/>
      <c r="O82" s="231"/>
      <c r="P82" s="231"/>
    </row>
    <row r="83" spans="1:18">
      <c r="A83" s="231"/>
      <c r="B83" s="231"/>
      <c r="C83" s="184"/>
      <c r="D83" s="184"/>
      <c r="E83" s="184"/>
      <c r="F83" s="184"/>
      <c r="G83" s="184"/>
      <c r="H83" s="184"/>
      <c r="I83" s="184"/>
      <c r="J83" s="184"/>
      <c r="K83" s="184"/>
      <c r="L83" s="184"/>
      <c r="M83" s="231"/>
      <c r="N83" s="231"/>
      <c r="O83" s="231"/>
      <c r="P83" s="231"/>
    </row>
    <row r="84" spans="1:18" ht="15">
      <c r="A84" s="231"/>
      <c r="B84" s="231"/>
      <c r="C84" s="347"/>
      <c r="D84" s="348"/>
      <c r="E84" s="349"/>
      <c r="F84" s="348"/>
      <c r="G84" s="184"/>
      <c r="H84" s="350"/>
      <c r="I84" s="348"/>
      <c r="J84" s="351"/>
      <c r="K84" s="348"/>
      <c r="L84" s="184"/>
      <c r="M84" s="231"/>
      <c r="N84" s="231"/>
      <c r="O84" s="231"/>
      <c r="P84" s="231"/>
    </row>
    <row r="85" spans="1:18" ht="15">
      <c r="A85" s="231"/>
      <c r="B85" s="231"/>
      <c r="C85" s="352"/>
      <c r="D85" s="348"/>
      <c r="E85" s="349"/>
      <c r="F85" s="348"/>
      <c r="G85" s="184"/>
      <c r="H85" s="350"/>
      <c r="I85" s="348"/>
      <c r="J85" s="351"/>
      <c r="K85" s="184"/>
      <c r="L85" s="184"/>
      <c r="M85" s="231"/>
      <c r="N85" s="231"/>
      <c r="O85" s="231"/>
      <c r="P85" s="231"/>
    </row>
    <row r="86" spans="1:18" ht="15">
      <c r="A86" s="231"/>
      <c r="B86" s="231"/>
      <c r="C86" s="352"/>
      <c r="D86" s="348"/>
      <c r="E86" s="349"/>
      <c r="F86" s="348"/>
      <c r="G86" s="184"/>
      <c r="H86" s="350"/>
      <c r="I86" s="348"/>
      <c r="J86" s="351"/>
      <c r="K86" s="184"/>
      <c r="L86" s="184"/>
      <c r="M86" s="231"/>
      <c r="N86" s="231"/>
      <c r="O86" s="231"/>
      <c r="P86" s="231"/>
    </row>
    <row r="87" spans="1:18" ht="15">
      <c r="A87" s="231"/>
      <c r="B87" s="231"/>
      <c r="C87" s="352"/>
      <c r="D87" s="348"/>
      <c r="E87" s="349"/>
      <c r="F87" s="348"/>
      <c r="G87" s="184"/>
      <c r="H87" s="350"/>
      <c r="I87" s="348"/>
      <c r="J87" s="351"/>
      <c r="K87" s="184"/>
      <c r="L87" s="184"/>
      <c r="M87" s="231"/>
      <c r="N87" s="231"/>
      <c r="O87" s="231"/>
      <c r="P87" s="231"/>
    </row>
    <row r="88" spans="1:18" ht="15">
      <c r="A88" s="231"/>
      <c r="B88" s="231"/>
      <c r="C88" s="352"/>
      <c r="D88" s="348"/>
      <c r="E88" s="349"/>
      <c r="F88" s="348"/>
      <c r="G88" s="184"/>
      <c r="H88" s="350"/>
      <c r="I88" s="348"/>
      <c r="J88" s="351"/>
      <c r="K88" s="184"/>
      <c r="L88" s="184"/>
      <c r="M88" s="231"/>
      <c r="N88" s="231"/>
      <c r="O88" s="231"/>
      <c r="P88" s="231"/>
    </row>
    <row r="89" spans="1:18" ht="15">
      <c r="A89" s="231"/>
      <c r="B89" s="231"/>
      <c r="C89" s="352"/>
      <c r="D89" s="348"/>
      <c r="E89" s="349"/>
      <c r="F89" s="348"/>
      <c r="G89" s="184"/>
      <c r="H89" s="350"/>
      <c r="I89" s="348"/>
      <c r="J89" s="351"/>
      <c r="K89" s="184"/>
      <c r="L89" s="184"/>
      <c r="M89" s="231"/>
      <c r="N89" s="231"/>
      <c r="O89" s="231"/>
      <c r="P89" s="231"/>
    </row>
    <row r="90" spans="1:18" ht="15">
      <c r="A90" s="231"/>
      <c r="B90" s="231"/>
      <c r="C90" s="352"/>
      <c r="D90" s="348"/>
      <c r="E90" s="349"/>
      <c r="F90" s="348"/>
      <c r="G90" s="184"/>
      <c r="H90" s="350"/>
      <c r="I90" s="348"/>
      <c r="J90" s="351"/>
      <c r="K90" s="184"/>
      <c r="L90" s="184"/>
      <c r="M90" s="231"/>
      <c r="N90" s="231"/>
      <c r="O90" s="231"/>
      <c r="P90" s="231"/>
    </row>
    <row r="91" spans="1:18" ht="15">
      <c r="A91" s="231"/>
      <c r="B91" s="231"/>
      <c r="C91" s="352"/>
      <c r="D91" s="348"/>
      <c r="E91" s="349"/>
      <c r="F91" s="348"/>
      <c r="G91" s="184"/>
      <c r="H91" s="350"/>
      <c r="I91" s="348"/>
      <c r="J91" s="351"/>
      <c r="K91" s="184"/>
      <c r="L91" s="184"/>
      <c r="M91" s="231"/>
      <c r="N91" s="231"/>
      <c r="O91" s="231"/>
      <c r="P91" s="231"/>
    </row>
    <row r="92" spans="1:18">
      <c r="A92" s="231"/>
      <c r="B92" s="231"/>
      <c r="C92" s="184"/>
      <c r="D92" s="353"/>
      <c r="E92" s="306"/>
      <c r="F92" s="353"/>
      <c r="G92" s="184"/>
      <c r="H92" s="192"/>
      <c r="I92" s="353"/>
      <c r="J92" s="184"/>
      <c r="K92" s="184"/>
      <c r="L92" s="184"/>
      <c r="M92" s="231"/>
      <c r="N92" s="231"/>
      <c r="O92" s="231"/>
      <c r="P92" s="231"/>
    </row>
    <row r="93" spans="1:18" ht="15">
      <c r="A93" s="231"/>
      <c r="B93" s="231"/>
      <c r="C93" s="352"/>
      <c r="D93" s="348"/>
      <c r="E93" s="351"/>
      <c r="F93" s="348"/>
      <c r="G93" s="184"/>
      <c r="H93" s="350"/>
      <c r="I93" s="348"/>
      <c r="J93" s="351"/>
      <c r="K93" s="184"/>
      <c r="L93" s="184"/>
      <c r="M93" s="231"/>
      <c r="N93" s="231"/>
      <c r="O93" s="231"/>
      <c r="P93" s="231"/>
    </row>
    <row r="94" spans="1:18" ht="15">
      <c r="A94" s="231"/>
      <c r="B94" s="231"/>
      <c r="C94" s="352"/>
      <c r="D94" s="348"/>
      <c r="E94" s="351"/>
      <c r="F94" s="348"/>
      <c r="G94" s="184"/>
      <c r="H94" s="350"/>
      <c r="I94" s="348"/>
      <c r="J94" s="351"/>
      <c r="K94" s="184"/>
      <c r="L94" s="184"/>
      <c r="M94" s="231"/>
      <c r="N94" s="231"/>
      <c r="O94" s="231"/>
      <c r="P94" s="231"/>
      <c r="Q94" s="231"/>
      <c r="R94" s="231"/>
    </row>
    <row r="95" spans="1:18" ht="15">
      <c r="A95" s="231"/>
      <c r="B95" s="231"/>
      <c r="C95" s="352"/>
      <c r="D95" s="348"/>
      <c r="E95" s="351"/>
      <c r="F95" s="348"/>
      <c r="G95" s="184"/>
      <c r="H95" s="350"/>
      <c r="I95" s="348"/>
      <c r="J95" s="351"/>
      <c r="K95" s="184"/>
      <c r="L95" s="184"/>
      <c r="M95" s="231"/>
      <c r="N95" s="231"/>
      <c r="O95" s="231"/>
      <c r="P95" s="231"/>
      <c r="Q95" s="231"/>
      <c r="R95" s="231"/>
    </row>
    <row r="96" spans="1:18" ht="15">
      <c r="A96" s="231"/>
      <c r="B96" s="231"/>
      <c r="C96" s="352"/>
      <c r="D96" s="348"/>
      <c r="E96" s="351"/>
      <c r="F96" s="348"/>
      <c r="G96" s="184"/>
      <c r="H96" s="350"/>
      <c r="I96" s="348"/>
      <c r="J96" s="351"/>
      <c r="K96" s="184"/>
      <c r="L96" s="184"/>
      <c r="M96" s="231"/>
      <c r="N96" s="231"/>
      <c r="O96" s="231"/>
      <c r="P96" s="231"/>
      <c r="Q96" s="231"/>
      <c r="R96" s="231"/>
    </row>
    <row r="97" spans="1:18" ht="15">
      <c r="A97" s="231"/>
      <c r="B97" s="231"/>
      <c r="C97" s="352"/>
      <c r="D97" s="348"/>
      <c r="E97" s="351"/>
      <c r="F97" s="348"/>
      <c r="G97" s="184"/>
      <c r="H97" s="350"/>
      <c r="I97" s="348"/>
      <c r="J97" s="351"/>
      <c r="K97" s="184"/>
      <c r="L97" s="184"/>
      <c r="M97" s="231"/>
      <c r="N97" s="231"/>
      <c r="O97" s="231"/>
      <c r="P97" s="231"/>
      <c r="Q97" s="231"/>
      <c r="R97" s="231"/>
    </row>
    <row r="98" spans="1:18" ht="15">
      <c r="A98" s="231"/>
      <c r="B98" s="231"/>
      <c r="C98" s="352"/>
      <c r="D98" s="348"/>
      <c r="E98" s="351"/>
      <c r="F98" s="348"/>
      <c r="G98" s="184"/>
      <c r="H98" s="350"/>
      <c r="I98" s="348"/>
      <c r="J98" s="351"/>
      <c r="K98" s="184"/>
      <c r="L98" s="184"/>
      <c r="M98" s="231"/>
      <c r="N98" s="231"/>
      <c r="O98" s="231"/>
      <c r="P98" s="231"/>
      <c r="Q98" s="231"/>
      <c r="R98" s="231"/>
    </row>
    <row r="99" spans="1:18" ht="15">
      <c r="A99" s="231"/>
      <c r="B99" s="231"/>
      <c r="C99" s="352"/>
      <c r="D99" s="348"/>
      <c r="E99" s="351"/>
      <c r="F99" s="348"/>
      <c r="G99" s="184"/>
      <c r="H99" s="350"/>
      <c r="I99" s="348"/>
      <c r="J99" s="351"/>
      <c r="K99" s="184"/>
      <c r="L99" s="184"/>
      <c r="M99" s="231"/>
      <c r="N99" s="231"/>
      <c r="O99" s="231"/>
      <c r="P99" s="231"/>
      <c r="Q99" s="231"/>
      <c r="R99" s="231"/>
    </row>
    <row r="100" spans="1:18" ht="15">
      <c r="A100" s="231"/>
      <c r="B100" s="231"/>
      <c r="C100" s="352"/>
      <c r="D100" s="348"/>
      <c r="E100" s="351"/>
      <c r="F100" s="348"/>
      <c r="G100" s="184"/>
      <c r="H100" s="350"/>
      <c r="I100" s="348"/>
      <c r="J100" s="351"/>
      <c r="K100" s="184"/>
      <c r="L100" s="184"/>
      <c r="M100" s="231"/>
      <c r="N100" s="231"/>
      <c r="O100" s="231"/>
      <c r="P100" s="231"/>
      <c r="Q100" s="231"/>
      <c r="R100" s="231"/>
    </row>
    <row r="101" spans="1:18" ht="15">
      <c r="A101" s="231"/>
      <c r="B101" s="231"/>
      <c r="C101" s="352"/>
      <c r="D101" s="348"/>
      <c r="E101" s="351"/>
      <c r="F101" s="348"/>
      <c r="G101" s="184"/>
      <c r="H101" s="350"/>
      <c r="I101" s="348"/>
      <c r="J101" s="351"/>
      <c r="K101" s="184"/>
      <c r="L101" s="184"/>
      <c r="M101" s="231"/>
      <c r="N101" s="231"/>
      <c r="O101" s="231"/>
      <c r="P101" s="231"/>
      <c r="Q101" s="231"/>
      <c r="R101" s="231"/>
    </row>
    <row r="102" spans="1:18">
      <c r="A102" s="231"/>
      <c r="B102" s="231"/>
      <c r="C102" s="184"/>
      <c r="D102" s="184"/>
      <c r="E102" s="184"/>
      <c r="F102" s="184"/>
      <c r="G102" s="184"/>
      <c r="H102" s="184"/>
      <c r="I102" s="184"/>
      <c r="J102" s="184"/>
      <c r="K102" s="184"/>
      <c r="L102" s="184"/>
      <c r="M102" s="231"/>
      <c r="N102" s="231"/>
      <c r="O102" s="231"/>
      <c r="P102" s="231"/>
      <c r="Q102" s="231"/>
      <c r="R102" s="231"/>
    </row>
    <row r="103" spans="1:18">
      <c r="A103" s="231"/>
      <c r="B103" s="231"/>
      <c r="C103" s="184"/>
      <c r="D103" s="184"/>
      <c r="E103" s="184"/>
      <c r="F103" s="184"/>
      <c r="G103" s="184"/>
      <c r="H103" s="184"/>
      <c r="I103" s="184"/>
      <c r="J103" s="184"/>
      <c r="K103" s="184"/>
      <c r="L103" s="184"/>
      <c r="M103" s="231"/>
      <c r="N103" s="231"/>
      <c r="O103" s="231"/>
      <c r="P103" s="231"/>
      <c r="Q103" s="231"/>
      <c r="R103" s="231"/>
    </row>
    <row r="104" spans="1:18">
      <c r="A104" s="231"/>
      <c r="B104" s="231"/>
      <c r="C104" s="184"/>
      <c r="D104" s="184"/>
      <c r="E104" s="184"/>
      <c r="F104" s="184"/>
      <c r="G104" s="184"/>
      <c r="H104" s="184"/>
      <c r="I104" s="184"/>
      <c r="J104" s="184"/>
      <c r="K104" s="184"/>
      <c r="L104" s="184"/>
      <c r="M104" s="231"/>
      <c r="N104" s="231"/>
      <c r="O104" s="231"/>
      <c r="P104" s="231"/>
      <c r="Q104" s="231"/>
      <c r="R104" s="231"/>
    </row>
    <row r="105" spans="1:18">
      <c r="A105" s="231"/>
      <c r="B105" s="231"/>
      <c r="C105" s="231"/>
      <c r="D105" s="231"/>
      <c r="E105" s="231"/>
      <c r="F105" s="231"/>
      <c r="G105" s="231"/>
      <c r="H105" s="231"/>
      <c r="I105" s="231"/>
      <c r="J105" s="231"/>
      <c r="K105" s="231"/>
      <c r="L105" s="231"/>
      <c r="M105" s="231"/>
      <c r="N105" s="231"/>
      <c r="O105" s="231"/>
      <c r="P105" s="231"/>
      <c r="Q105" s="231"/>
      <c r="R105" s="231"/>
    </row>
    <row r="106" spans="1:18">
      <c r="A106" s="231"/>
      <c r="B106" s="231"/>
      <c r="C106" s="231"/>
      <c r="D106" s="231"/>
      <c r="E106" s="231"/>
      <c r="F106" s="231"/>
      <c r="G106" s="231"/>
      <c r="H106" s="231"/>
      <c r="I106" s="231"/>
      <c r="J106" s="231"/>
      <c r="K106" s="231"/>
      <c r="L106" s="231"/>
      <c r="M106" s="231"/>
      <c r="N106" s="231"/>
      <c r="O106" s="231"/>
      <c r="P106" s="231"/>
      <c r="Q106" s="231"/>
      <c r="R106" s="231"/>
    </row>
    <row r="107" spans="1:18">
      <c r="A107" s="231"/>
      <c r="B107" s="231"/>
      <c r="C107" s="231"/>
      <c r="D107" s="231"/>
      <c r="E107" s="231"/>
      <c r="F107" s="231"/>
      <c r="G107" s="231"/>
      <c r="H107" s="231"/>
      <c r="I107" s="231"/>
      <c r="J107" s="231"/>
      <c r="K107" s="231"/>
      <c r="L107" s="231"/>
      <c r="M107" s="231"/>
      <c r="N107" s="231"/>
      <c r="O107" s="231"/>
      <c r="P107" s="231"/>
      <c r="Q107" s="231"/>
      <c r="R107" s="231"/>
    </row>
    <row r="108" spans="1:18">
      <c r="A108" s="231"/>
      <c r="B108" s="231"/>
      <c r="C108" s="231"/>
      <c r="D108" s="231"/>
      <c r="E108" s="231"/>
      <c r="F108" s="231"/>
      <c r="G108" s="231"/>
      <c r="H108" s="231"/>
      <c r="I108" s="231"/>
      <c r="J108" s="231"/>
      <c r="K108" s="231"/>
      <c r="L108" s="231"/>
      <c r="M108" s="231"/>
      <c r="N108" s="231"/>
      <c r="O108" s="231"/>
      <c r="P108" s="231"/>
      <c r="Q108" s="231"/>
      <c r="R108" s="231"/>
    </row>
    <row r="109" spans="1:18">
      <c r="A109" s="231"/>
      <c r="B109" s="231"/>
      <c r="C109" s="231"/>
      <c r="D109" s="231"/>
      <c r="E109" s="231"/>
      <c r="F109" s="231"/>
      <c r="G109" s="231"/>
      <c r="H109" s="231"/>
      <c r="I109" s="231"/>
      <c r="J109" s="231"/>
      <c r="K109" s="231"/>
      <c r="L109" s="231"/>
      <c r="M109" s="231"/>
      <c r="N109" s="231"/>
      <c r="O109" s="231"/>
      <c r="P109" s="231"/>
      <c r="Q109" s="231"/>
      <c r="R109" s="231"/>
    </row>
    <row r="110" spans="1:18">
      <c r="A110" s="231"/>
      <c r="B110" s="231"/>
      <c r="C110" s="231"/>
      <c r="D110" s="231"/>
      <c r="E110" s="231"/>
      <c r="F110" s="231"/>
      <c r="G110" s="231"/>
      <c r="H110" s="231"/>
      <c r="I110" s="231"/>
      <c r="J110" s="231"/>
      <c r="K110" s="231"/>
      <c r="L110" s="231"/>
      <c r="M110" s="231"/>
      <c r="N110" s="231"/>
      <c r="O110" s="231"/>
      <c r="P110" s="231"/>
      <c r="Q110" s="231"/>
      <c r="R110" s="231"/>
    </row>
    <row r="111" spans="1:18">
      <c r="A111" s="231"/>
      <c r="B111" s="231"/>
      <c r="C111" s="231"/>
      <c r="D111" s="231"/>
      <c r="E111" s="231"/>
      <c r="F111" s="231"/>
      <c r="G111" s="231"/>
      <c r="H111" s="231"/>
      <c r="I111" s="231"/>
      <c r="J111" s="231"/>
      <c r="K111" s="231"/>
      <c r="L111" s="231"/>
      <c r="M111" s="231"/>
      <c r="N111" s="231"/>
      <c r="O111" s="231"/>
      <c r="P111" s="231"/>
      <c r="Q111" s="231"/>
      <c r="R111" s="231"/>
    </row>
    <row r="112" spans="1:18">
      <c r="A112" s="231"/>
      <c r="B112" s="231"/>
      <c r="C112" s="231"/>
      <c r="D112" s="231"/>
      <c r="E112" s="231"/>
      <c r="F112" s="231"/>
      <c r="G112" s="231"/>
      <c r="H112" s="231"/>
      <c r="I112" s="231"/>
      <c r="J112" s="231"/>
      <c r="K112" s="231"/>
      <c r="L112" s="231"/>
      <c r="M112" s="231"/>
      <c r="N112" s="231"/>
      <c r="O112" s="231"/>
      <c r="P112" s="231"/>
      <c r="Q112" s="231"/>
      <c r="R112" s="231"/>
    </row>
    <row r="113" spans="1:18">
      <c r="A113" s="231"/>
      <c r="B113" s="231"/>
      <c r="C113" s="231"/>
      <c r="D113" s="231"/>
      <c r="E113" s="231"/>
      <c r="F113" s="231"/>
      <c r="G113" s="231"/>
      <c r="H113" s="231"/>
      <c r="I113" s="231"/>
      <c r="J113" s="231"/>
      <c r="K113" s="231"/>
      <c r="L113" s="231"/>
      <c r="M113" s="231"/>
      <c r="N113" s="231"/>
      <c r="O113" s="231"/>
      <c r="P113" s="231"/>
      <c r="Q113" s="231"/>
      <c r="R113" s="231"/>
    </row>
    <row r="114" spans="1:18">
      <c r="A114" s="231"/>
      <c r="B114" s="231"/>
      <c r="C114" s="231"/>
      <c r="D114" s="231"/>
      <c r="E114" s="231"/>
      <c r="F114" s="231"/>
      <c r="G114" s="231"/>
      <c r="H114" s="231"/>
      <c r="I114" s="231"/>
      <c r="J114" s="231"/>
      <c r="K114" s="231"/>
      <c r="L114" s="231"/>
      <c r="M114" s="231"/>
      <c r="N114" s="231"/>
      <c r="O114" s="231"/>
      <c r="P114" s="231"/>
      <c r="Q114" s="231"/>
      <c r="R114" s="231"/>
    </row>
    <row r="115" spans="1:18">
      <c r="A115" s="231"/>
      <c r="B115" s="231"/>
      <c r="C115" s="231"/>
      <c r="D115" s="231"/>
      <c r="E115" s="231"/>
      <c r="F115" s="231"/>
      <c r="G115" s="231"/>
      <c r="H115" s="231"/>
      <c r="I115" s="231"/>
      <c r="J115" s="231"/>
      <c r="K115" s="231"/>
      <c r="L115" s="231"/>
      <c r="M115" s="231"/>
      <c r="N115" s="231"/>
      <c r="O115" s="231"/>
      <c r="P115" s="231"/>
      <c r="Q115" s="231"/>
      <c r="R115" s="231"/>
    </row>
    <row r="116" spans="1:18">
      <c r="A116" s="231"/>
      <c r="B116" s="231"/>
      <c r="C116" s="231"/>
      <c r="D116" s="231"/>
      <c r="E116" s="231"/>
      <c r="F116" s="231"/>
      <c r="G116" s="231"/>
      <c r="H116" s="231"/>
      <c r="I116" s="231"/>
      <c r="J116" s="231"/>
      <c r="K116" s="231"/>
      <c r="L116" s="231"/>
      <c r="M116" s="231"/>
      <c r="N116" s="231"/>
      <c r="O116" s="231"/>
      <c r="P116" s="231"/>
      <c r="Q116" s="231"/>
      <c r="R116" s="231"/>
    </row>
    <row r="117" spans="1:18">
      <c r="A117" s="231"/>
      <c r="B117" s="231"/>
      <c r="C117" s="231"/>
      <c r="D117" s="231"/>
      <c r="E117" s="231"/>
      <c r="F117" s="231"/>
      <c r="G117" s="231"/>
      <c r="H117" s="231"/>
      <c r="I117" s="231"/>
      <c r="J117" s="231"/>
      <c r="K117" s="231"/>
      <c r="L117" s="231"/>
      <c r="M117" s="231"/>
      <c r="N117" s="231"/>
      <c r="O117" s="231"/>
      <c r="P117" s="231"/>
      <c r="Q117" s="231"/>
      <c r="R117" s="231"/>
    </row>
    <row r="118" spans="1:18">
      <c r="A118" s="231"/>
      <c r="B118" s="231"/>
      <c r="C118" s="231"/>
      <c r="D118" s="231"/>
      <c r="E118" s="231"/>
      <c r="F118" s="231"/>
      <c r="G118" s="231"/>
      <c r="H118" s="231"/>
      <c r="I118" s="231"/>
      <c r="J118" s="231"/>
      <c r="K118" s="231"/>
      <c r="L118" s="231"/>
      <c r="M118" s="231"/>
      <c r="N118" s="231"/>
      <c r="O118" s="231"/>
      <c r="P118" s="231"/>
      <c r="Q118" s="231"/>
      <c r="R118" s="231"/>
    </row>
    <row r="119" spans="1:18">
      <c r="A119" s="231"/>
      <c r="B119" s="231"/>
      <c r="C119" s="231"/>
      <c r="D119" s="231"/>
      <c r="E119" s="231"/>
      <c r="F119" s="231"/>
      <c r="G119" s="231"/>
      <c r="H119" s="231"/>
      <c r="I119" s="231"/>
      <c r="J119" s="231"/>
      <c r="K119" s="231"/>
      <c r="L119" s="231"/>
      <c r="M119" s="231"/>
      <c r="N119" s="231"/>
      <c r="O119" s="231"/>
      <c r="P119" s="231"/>
      <c r="Q119" s="231"/>
      <c r="R119" s="231"/>
    </row>
    <row r="120" spans="1:18">
      <c r="A120" s="231"/>
      <c r="B120" s="231"/>
      <c r="C120" s="231"/>
      <c r="D120" s="231"/>
      <c r="E120" s="231"/>
      <c r="F120" s="231"/>
      <c r="G120" s="231"/>
      <c r="H120" s="231"/>
      <c r="I120" s="231"/>
      <c r="J120" s="231"/>
      <c r="K120" s="231"/>
      <c r="L120" s="231"/>
      <c r="M120" s="231"/>
      <c r="N120" s="231"/>
      <c r="O120" s="231"/>
      <c r="P120" s="231"/>
      <c r="Q120" s="231"/>
      <c r="R120" s="231"/>
    </row>
    <row r="121" spans="1:18">
      <c r="A121" s="231"/>
      <c r="B121" s="231"/>
      <c r="C121" s="231"/>
      <c r="D121" s="231"/>
      <c r="E121" s="231"/>
      <c r="F121" s="231"/>
      <c r="G121" s="231"/>
      <c r="H121" s="231"/>
      <c r="I121" s="231"/>
      <c r="J121" s="231"/>
      <c r="K121" s="231"/>
      <c r="L121" s="231"/>
      <c r="M121" s="231"/>
      <c r="N121" s="231"/>
      <c r="O121" s="231"/>
      <c r="P121" s="231"/>
      <c r="Q121" s="231"/>
      <c r="R121" s="231"/>
    </row>
    <row r="122" spans="1:18">
      <c r="A122" s="231"/>
      <c r="B122" s="231"/>
      <c r="C122" s="231"/>
      <c r="D122" s="231"/>
      <c r="E122" s="231"/>
      <c r="F122" s="231"/>
      <c r="G122" s="231"/>
      <c r="H122" s="231"/>
      <c r="I122" s="231"/>
      <c r="J122" s="231"/>
      <c r="K122" s="231"/>
      <c r="L122" s="231"/>
      <c r="M122" s="231"/>
      <c r="N122" s="231"/>
      <c r="O122" s="231"/>
      <c r="P122" s="231"/>
      <c r="Q122" s="231"/>
      <c r="R122" s="231"/>
    </row>
    <row r="123" spans="1:18">
      <c r="A123" s="231"/>
      <c r="B123" s="231"/>
      <c r="C123" s="231"/>
      <c r="D123" s="231"/>
      <c r="E123" s="231"/>
      <c r="F123" s="231"/>
      <c r="G123" s="231"/>
      <c r="H123" s="231"/>
      <c r="I123" s="231"/>
      <c r="J123" s="231"/>
      <c r="K123" s="231"/>
      <c r="L123" s="231"/>
      <c r="M123" s="231"/>
      <c r="N123" s="231"/>
      <c r="O123" s="231"/>
      <c r="P123" s="231"/>
      <c r="Q123" s="231"/>
      <c r="R123" s="231"/>
    </row>
    <row r="124" spans="1:18">
      <c r="A124" s="231"/>
      <c r="B124" s="231"/>
      <c r="C124" s="231"/>
      <c r="D124" s="231"/>
      <c r="E124" s="231"/>
      <c r="F124" s="231"/>
      <c r="G124" s="231"/>
      <c r="H124" s="231"/>
      <c r="I124" s="231"/>
      <c r="J124" s="231"/>
      <c r="K124" s="231"/>
      <c r="L124" s="231"/>
      <c r="M124" s="231"/>
      <c r="N124" s="231"/>
      <c r="O124" s="231"/>
      <c r="P124" s="231"/>
      <c r="Q124" s="231"/>
      <c r="R124" s="231"/>
    </row>
    <row r="125" spans="1:18">
      <c r="A125" s="231"/>
      <c r="B125" s="231"/>
      <c r="C125" s="231"/>
      <c r="D125" s="231"/>
      <c r="E125" s="231"/>
      <c r="F125" s="231"/>
      <c r="G125" s="231"/>
      <c r="H125" s="231"/>
      <c r="I125" s="231"/>
      <c r="J125" s="231"/>
      <c r="K125" s="231"/>
      <c r="L125" s="231"/>
      <c r="M125" s="231"/>
      <c r="N125" s="231"/>
      <c r="O125" s="231"/>
      <c r="P125" s="231"/>
      <c r="Q125" s="231"/>
      <c r="R125" s="231"/>
    </row>
    <row r="126" spans="1:18">
      <c r="A126" s="231"/>
      <c r="B126" s="231"/>
      <c r="C126" s="231"/>
      <c r="D126" s="231"/>
      <c r="E126" s="231"/>
      <c r="F126" s="231"/>
      <c r="G126" s="231"/>
      <c r="H126" s="231"/>
      <c r="I126" s="231"/>
      <c r="J126" s="231"/>
      <c r="K126" s="231"/>
      <c r="L126" s="231"/>
      <c r="M126" s="231"/>
      <c r="N126" s="231"/>
      <c r="O126" s="231"/>
      <c r="P126" s="231"/>
      <c r="Q126" s="231"/>
      <c r="R126" s="231"/>
    </row>
    <row r="127" spans="1:18">
      <c r="A127" s="231"/>
      <c r="B127" s="231"/>
      <c r="C127" s="231"/>
      <c r="D127" s="231"/>
      <c r="E127" s="231"/>
      <c r="F127" s="231"/>
      <c r="G127" s="231"/>
      <c r="H127" s="231"/>
      <c r="I127" s="231"/>
      <c r="J127" s="231"/>
      <c r="K127" s="231"/>
      <c r="L127" s="231"/>
      <c r="M127" s="231"/>
      <c r="N127" s="231"/>
      <c r="O127" s="231"/>
      <c r="P127" s="231"/>
      <c r="Q127" s="231"/>
      <c r="R127" s="231"/>
    </row>
    <row r="128" spans="1:18">
      <c r="A128" s="231"/>
      <c r="B128" s="231"/>
      <c r="C128" s="231"/>
      <c r="D128" s="231"/>
      <c r="E128" s="231"/>
      <c r="F128" s="231"/>
      <c r="G128" s="231"/>
      <c r="H128" s="231"/>
      <c r="I128" s="231"/>
      <c r="J128" s="231"/>
      <c r="K128" s="231"/>
      <c r="L128" s="231"/>
      <c r="M128" s="231"/>
      <c r="N128" s="231"/>
      <c r="O128" s="231"/>
      <c r="P128" s="231"/>
      <c r="Q128" s="231"/>
      <c r="R128" s="231"/>
    </row>
    <row r="129" spans="1:18">
      <c r="A129" s="231"/>
      <c r="B129" s="231"/>
      <c r="C129" s="231"/>
      <c r="D129" s="231"/>
      <c r="E129" s="231"/>
      <c r="F129" s="231"/>
      <c r="G129" s="231"/>
      <c r="H129" s="231"/>
      <c r="I129" s="231"/>
      <c r="J129" s="231"/>
      <c r="K129" s="231"/>
      <c r="L129" s="231"/>
      <c r="M129" s="231"/>
      <c r="N129" s="231"/>
      <c r="O129" s="231"/>
      <c r="P129" s="231"/>
      <c r="Q129" s="231"/>
      <c r="R129" s="231"/>
    </row>
    <row r="130" spans="1:18">
      <c r="A130" s="231"/>
      <c r="B130" s="231"/>
      <c r="C130" s="231"/>
      <c r="D130" s="231"/>
      <c r="E130" s="231"/>
      <c r="F130" s="231"/>
      <c r="G130" s="231"/>
      <c r="H130" s="231"/>
      <c r="I130" s="231"/>
      <c r="J130" s="231"/>
      <c r="K130" s="231"/>
      <c r="L130" s="231"/>
      <c r="M130" s="231"/>
      <c r="N130" s="231"/>
      <c r="O130" s="231"/>
      <c r="P130" s="231"/>
      <c r="Q130" s="231"/>
      <c r="R130" s="231"/>
    </row>
    <row r="131" spans="1:18">
      <c r="A131" s="231"/>
      <c r="B131" s="231"/>
      <c r="C131" s="231"/>
      <c r="D131" s="231"/>
      <c r="E131" s="231"/>
      <c r="F131" s="231"/>
      <c r="G131" s="231"/>
      <c r="H131" s="231"/>
      <c r="I131" s="231"/>
      <c r="J131" s="231"/>
      <c r="K131" s="231"/>
      <c r="L131" s="231"/>
      <c r="M131" s="231"/>
      <c r="N131" s="231"/>
      <c r="O131" s="231"/>
      <c r="P131" s="231"/>
      <c r="Q131" s="231"/>
      <c r="R131" s="231"/>
    </row>
    <row r="132" spans="1:18">
      <c r="A132" s="231"/>
      <c r="B132" s="231"/>
      <c r="C132" s="231"/>
      <c r="D132" s="231"/>
      <c r="E132" s="231"/>
      <c r="F132" s="231"/>
      <c r="G132" s="231"/>
      <c r="H132" s="231"/>
      <c r="I132" s="231"/>
      <c r="J132" s="231"/>
      <c r="K132" s="231"/>
      <c r="L132" s="231"/>
      <c r="M132" s="231"/>
      <c r="N132" s="231"/>
      <c r="O132" s="231"/>
      <c r="P132" s="231"/>
      <c r="Q132" s="231"/>
      <c r="R132" s="231"/>
    </row>
    <row r="133" spans="1:18">
      <c r="A133" s="231"/>
      <c r="B133" s="231"/>
      <c r="C133" s="231"/>
      <c r="D133" s="231"/>
      <c r="E133" s="231"/>
      <c r="F133" s="231"/>
      <c r="G133" s="231"/>
      <c r="H133" s="231"/>
      <c r="I133" s="231"/>
      <c r="J133" s="231"/>
      <c r="K133" s="231"/>
      <c r="L133" s="231"/>
      <c r="M133" s="231"/>
      <c r="N133" s="231"/>
      <c r="O133" s="231"/>
      <c r="P133" s="231"/>
      <c r="Q133" s="231"/>
      <c r="R133" s="231"/>
    </row>
    <row r="134" spans="1:18">
      <c r="A134" s="231"/>
      <c r="B134" s="231"/>
      <c r="C134" s="231"/>
      <c r="D134" s="231"/>
      <c r="E134" s="231"/>
      <c r="F134" s="231"/>
      <c r="G134" s="231"/>
      <c r="H134" s="231"/>
      <c r="I134" s="231"/>
      <c r="J134" s="231"/>
      <c r="K134" s="231"/>
      <c r="L134" s="231"/>
      <c r="M134" s="231"/>
      <c r="N134" s="231"/>
      <c r="O134" s="231"/>
      <c r="P134" s="231"/>
      <c r="Q134" s="231"/>
      <c r="R134" s="231"/>
    </row>
    <row r="135" spans="1:18">
      <c r="A135" s="231"/>
      <c r="B135" s="231"/>
      <c r="C135" s="231"/>
      <c r="D135" s="231"/>
      <c r="E135" s="231"/>
      <c r="F135" s="231"/>
      <c r="G135" s="231"/>
      <c r="H135" s="231"/>
      <c r="I135" s="231"/>
      <c r="J135" s="231"/>
      <c r="K135" s="231"/>
      <c r="L135" s="231"/>
      <c r="M135" s="231"/>
      <c r="N135" s="231"/>
      <c r="O135" s="231"/>
      <c r="P135" s="231"/>
      <c r="Q135" s="231"/>
      <c r="R135" s="231"/>
    </row>
    <row r="136" spans="1:18">
      <c r="A136" s="231"/>
      <c r="B136" s="231"/>
      <c r="C136" s="231"/>
      <c r="D136" s="231"/>
      <c r="E136" s="231"/>
      <c r="F136" s="231"/>
      <c r="G136" s="231"/>
      <c r="H136" s="231"/>
      <c r="I136" s="231"/>
      <c r="J136" s="231"/>
      <c r="K136" s="231"/>
      <c r="L136" s="231"/>
      <c r="M136" s="231"/>
      <c r="N136" s="231"/>
      <c r="O136" s="231"/>
      <c r="P136" s="231"/>
      <c r="Q136" s="231"/>
      <c r="R136" s="231"/>
    </row>
    <row r="137" spans="1:18">
      <c r="A137" s="231"/>
      <c r="B137" s="231"/>
      <c r="C137" s="231"/>
      <c r="D137" s="231"/>
      <c r="E137" s="231"/>
      <c r="F137" s="231"/>
      <c r="G137" s="231"/>
      <c r="H137" s="231"/>
      <c r="I137" s="231"/>
      <c r="J137" s="231"/>
      <c r="K137" s="231"/>
      <c r="L137" s="231"/>
      <c r="M137" s="231"/>
      <c r="N137" s="231"/>
      <c r="O137" s="231"/>
      <c r="P137" s="231"/>
      <c r="Q137" s="231"/>
      <c r="R137" s="231"/>
    </row>
    <row r="138" spans="1:18">
      <c r="A138" s="231"/>
      <c r="B138" s="231"/>
      <c r="C138" s="231"/>
      <c r="D138" s="231"/>
      <c r="E138" s="231"/>
      <c r="F138" s="231"/>
      <c r="G138" s="231"/>
      <c r="H138" s="231"/>
      <c r="I138" s="231"/>
      <c r="J138" s="231"/>
      <c r="K138" s="231"/>
      <c r="L138" s="231"/>
      <c r="M138" s="231"/>
      <c r="N138" s="231"/>
      <c r="O138" s="231"/>
      <c r="P138" s="231"/>
      <c r="Q138" s="231"/>
      <c r="R138" s="231"/>
    </row>
    <row r="139" spans="1:18">
      <c r="A139" s="231"/>
      <c r="B139" s="231"/>
      <c r="C139" s="231"/>
      <c r="D139" s="231"/>
      <c r="E139" s="231"/>
      <c r="F139" s="231"/>
      <c r="G139" s="231"/>
      <c r="H139" s="231"/>
      <c r="I139" s="231"/>
      <c r="J139" s="231"/>
      <c r="K139" s="231"/>
      <c r="L139" s="231"/>
      <c r="M139" s="231"/>
      <c r="N139" s="231"/>
      <c r="O139" s="231"/>
      <c r="P139" s="231"/>
      <c r="Q139" s="231"/>
      <c r="R139" s="231"/>
    </row>
    <row r="140" spans="1:18">
      <c r="A140" s="231"/>
      <c r="B140" s="231"/>
      <c r="C140" s="231"/>
      <c r="D140" s="231"/>
      <c r="E140" s="231"/>
      <c r="F140" s="231"/>
      <c r="G140" s="231"/>
      <c r="H140" s="231"/>
      <c r="I140" s="231"/>
      <c r="J140" s="231"/>
      <c r="K140" s="231"/>
      <c r="L140" s="231"/>
      <c r="M140" s="231"/>
      <c r="N140" s="231"/>
      <c r="O140" s="231"/>
      <c r="P140" s="231"/>
      <c r="Q140" s="231"/>
      <c r="R140" s="231"/>
    </row>
    <row r="141" spans="1:18">
      <c r="A141" s="231"/>
      <c r="B141" s="231"/>
      <c r="C141" s="231"/>
      <c r="D141" s="231"/>
      <c r="E141" s="231"/>
      <c r="F141" s="231"/>
      <c r="G141" s="231"/>
      <c r="H141" s="231"/>
      <c r="I141" s="231"/>
      <c r="J141" s="231"/>
      <c r="K141" s="231"/>
      <c r="L141" s="231"/>
      <c r="M141" s="231"/>
      <c r="N141" s="231"/>
      <c r="O141" s="231"/>
      <c r="P141" s="231"/>
      <c r="Q141" s="231"/>
      <c r="R141" s="231"/>
    </row>
    <row r="142" spans="1:18">
      <c r="A142" s="231"/>
      <c r="B142" s="231"/>
      <c r="C142" s="231"/>
      <c r="D142" s="231"/>
      <c r="E142" s="231"/>
      <c r="F142" s="231"/>
      <c r="G142" s="231"/>
      <c r="H142" s="231"/>
      <c r="I142" s="231"/>
      <c r="J142" s="231"/>
      <c r="K142" s="231"/>
      <c r="L142" s="231"/>
      <c r="M142" s="231"/>
      <c r="N142" s="231"/>
      <c r="O142" s="231"/>
      <c r="P142" s="231"/>
      <c r="Q142" s="231"/>
      <c r="R142" s="231"/>
    </row>
    <row r="143" spans="1:18">
      <c r="A143" s="231"/>
      <c r="B143" s="231"/>
      <c r="C143" s="231"/>
      <c r="D143" s="231"/>
      <c r="E143" s="231"/>
      <c r="F143" s="231"/>
      <c r="G143" s="231"/>
      <c r="H143" s="231"/>
      <c r="I143" s="231"/>
      <c r="J143" s="231"/>
      <c r="K143" s="231"/>
      <c r="L143" s="231"/>
      <c r="M143" s="231"/>
      <c r="N143" s="231"/>
      <c r="O143" s="231"/>
      <c r="P143" s="231"/>
      <c r="Q143" s="231"/>
      <c r="R143" s="231"/>
    </row>
    <row r="144" spans="1:18">
      <c r="A144" s="231"/>
      <c r="B144" s="231"/>
      <c r="C144" s="231"/>
      <c r="D144" s="231"/>
      <c r="E144" s="231"/>
      <c r="F144" s="231"/>
      <c r="G144" s="231"/>
      <c r="H144" s="231"/>
      <c r="I144" s="231"/>
      <c r="J144" s="231"/>
      <c r="K144" s="231"/>
      <c r="L144" s="231"/>
      <c r="M144" s="231"/>
      <c r="N144" s="231"/>
      <c r="O144" s="231"/>
      <c r="P144" s="231"/>
      <c r="Q144" s="231"/>
      <c r="R144" s="231"/>
    </row>
    <row r="145" spans="1:18">
      <c r="A145" s="231"/>
      <c r="B145" s="231"/>
      <c r="C145" s="231"/>
      <c r="D145" s="231"/>
      <c r="E145" s="231"/>
      <c r="F145" s="231"/>
      <c r="G145" s="231"/>
      <c r="H145" s="231"/>
      <c r="I145" s="231"/>
      <c r="J145" s="231"/>
      <c r="K145" s="231"/>
      <c r="L145" s="231"/>
      <c r="M145" s="231"/>
      <c r="N145" s="231"/>
      <c r="O145" s="231"/>
      <c r="P145" s="231"/>
      <c r="Q145" s="231"/>
      <c r="R145" s="231"/>
    </row>
    <row r="146" spans="1:18">
      <c r="A146" s="231"/>
      <c r="B146" s="231"/>
      <c r="C146" s="231"/>
      <c r="D146" s="231"/>
      <c r="E146" s="231"/>
      <c r="F146" s="231"/>
      <c r="G146" s="231"/>
      <c r="H146" s="231"/>
      <c r="I146" s="231"/>
      <c r="J146" s="231"/>
      <c r="K146" s="231"/>
      <c r="L146" s="231"/>
      <c r="M146" s="231"/>
      <c r="N146" s="231"/>
      <c r="O146" s="231"/>
      <c r="P146" s="231"/>
      <c r="Q146" s="231"/>
      <c r="R146" s="231"/>
    </row>
    <row r="147" spans="1:18">
      <c r="A147" s="231"/>
      <c r="B147" s="231"/>
      <c r="C147" s="231"/>
      <c r="D147" s="231"/>
      <c r="E147" s="231"/>
      <c r="F147" s="231"/>
      <c r="G147" s="231"/>
      <c r="H147" s="231"/>
      <c r="I147" s="231"/>
      <c r="J147" s="231"/>
      <c r="K147" s="231"/>
      <c r="L147" s="231"/>
      <c r="M147" s="231"/>
      <c r="N147" s="231"/>
      <c r="O147" s="231"/>
      <c r="P147" s="231"/>
      <c r="Q147" s="231"/>
      <c r="R147" s="231"/>
    </row>
    <row r="148" spans="1:18">
      <c r="A148" s="231"/>
      <c r="B148" s="231"/>
      <c r="C148" s="231"/>
      <c r="D148" s="231"/>
      <c r="E148" s="231"/>
      <c r="F148" s="231"/>
      <c r="G148" s="231"/>
      <c r="H148" s="231"/>
      <c r="I148" s="231"/>
      <c r="J148" s="231"/>
      <c r="K148" s="231"/>
      <c r="L148" s="231"/>
      <c r="M148" s="231"/>
      <c r="N148" s="231"/>
      <c r="O148" s="231"/>
      <c r="P148" s="231"/>
      <c r="Q148" s="231"/>
      <c r="R148" s="231"/>
    </row>
    <row r="149" spans="1:18">
      <c r="A149" s="231"/>
      <c r="B149" s="231"/>
      <c r="C149" s="231"/>
      <c r="D149" s="231"/>
      <c r="E149" s="231"/>
      <c r="F149" s="231"/>
      <c r="G149" s="231"/>
      <c r="H149" s="231"/>
      <c r="I149" s="231"/>
      <c r="J149" s="231"/>
      <c r="K149" s="231"/>
      <c r="L149" s="231"/>
      <c r="M149" s="231"/>
      <c r="N149" s="231"/>
      <c r="O149" s="231"/>
      <c r="P149" s="231"/>
      <c r="Q149" s="231"/>
      <c r="R149" s="231"/>
    </row>
    <row r="150" spans="1:18">
      <c r="A150" s="231"/>
      <c r="B150" s="231"/>
      <c r="C150" s="231"/>
      <c r="D150" s="231"/>
      <c r="E150" s="231"/>
      <c r="F150" s="231"/>
      <c r="G150" s="231"/>
      <c r="H150" s="231"/>
      <c r="I150" s="231"/>
      <c r="J150" s="231"/>
      <c r="K150" s="231"/>
      <c r="L150" s="231"/>
      <c r="M150" s="231"/>
      <c r="N150" s="231"/>
      <c r="O150" s="231"/>
      <c r="P150" s="231"/>
      <c r="Q150" s="231"/>
      <c r="R150" s="231"/>
    </row>
    <row r="151" spans="1:18">
      <c r="A151" s="231"/>
      <c r="B151" s="231"/>
      <c r="C151" s="231"/>
      <c r="D151" s="231"/>
      <c r="E151" s="231"/>
      <c r="F151" s="231"/>
      <c r="G151" s="231"/>
      <c r="H151" s="231"/>
      <c r="I151" s="231"/>
      <c r="J151" s="231"/>
      <c r="K151" s="231"/>
      <c r="L151" s="231"/>
      <c r="M151" s="231"/>
      <c r="N151" s="231"/>
      <c r="O151" s="231"/>
      <c r="P151" s="231"/>
      <c r="Q151" s="231"/>
      <c r="R151" s="231"/>
    </row>
    <row r="152" spans="1:18">
      <c r="A152" s="231"/>
      <c r="B152" s="231"/>
      <c r="C152" s="231"/>
      <c r="D152" s="231"/>
      <c r="E152" s="231"/>
      <c r="F152" s="231"/>
      <c r="G152" s="231"/>
      <c r="H152" s="231"/>
      <c r="I152" s="231"/>
      <c r="J152" s="231"/>
      <c r="K152" s="231"/>
      <c r="L152" s="231"/>
      <c r="M152" s="231"/>
      <c r="N152" s="231"/>
      <c r="O152" s="231"/>
      <c r="P152" s="231"/>
      <c r="Q152" s="231"/>
      <c r="R152" s="231"/>
    </row>
    <row r="153" spans="1:18">
      <c r="A153" s="231"/>
      <c r="B153" s="231"/>
      <c r="C153" s="231"/>
      <c r="D153" s="231"/>
      <c r="E153" s="231"/>
      <c r="F153" s="231"/>
      <c r="G153" s="231"/>
      <c r="H153" s="231"/>
      <c r="I153" s="231"/>
      <c r="J153" s="231"/>
      <c r="K153" s="231"/>
      <c r="L153" s="231"/>
      <c r="M153" s="231"/>
      <c r="N153" s="231"/>
      <c r="O153" s="231"/>
      <c r="P153" s="231"/>
      <c r="Q153" s="231"/>
      <c r="R153" s="231"/>
    </row>
    <row r="154" spans="1:18">
      <c r="A154" s="231"/>
      <c r="B154" s="231"/>
      <c r="C154" s="231"/>
      <c r="D154" s="231"/>
      <c r="E154" s="231"/>
      <c r="F154" s="231"/>
      <c r="G154" s="231"/>
      <c r="H154" s="231"/>
      <c r="I154" s="231"/>
      <c r="J154" s="231"/>
      <c r="K154" s="231"/>
      <c r="L154" s="231"/>
      <c r="M154" s="231"/>
      <c r="N154" s="231"/>
      <c r="O154" s="231"/>
      <c r="P154" s="231"/>
      <c r="Q154" s="231"/>
      <c r="R154" s="231"/>
    </row>
    <row r="155" spans="1:18">
      <c r="A155" s="231"/>
      <c r="B155" s="231"/>
      <c r="C155" s="231"/>
      <c r="D155" s="231"/>
      <c r="E155" s="231"/>
      <c r="F155" s="231"/>
      <c r="G155" s="231"/>
      <c r="H155" s="231"/>
      <c r="I155" s="231"/>
      <c r="J155" s="231"/>
      <c r="K155" s="231"/>
      <c r="L155" s="231"/>
      <c r="M155" s="231"/>
      <c r="N155" s="231"/>
      <c r="O155" s="231"/>
      <c r="P155" s="231"/>
      <c r="Q155" s="231"/>
      <c r="R155" s="231"/>
    </row>
    <row r="156" spans="1:18">
      <c r="A156" s="231"/>
      <c r="B156" s="231"/>
      <c r="C156" s="231"/>
      <c r="D156" s="231"/>
      <c r="E156" s="231"/>
      <c r="F156" s="231"/>
      <c r="G156" s="231"/>
      <c r="H156" s="231"/>
      <c r="I156" s="231"/>
      <c r="J156" s="231"/>
      <c r="K156" s="231"/>
      <c r="L156" s="231"/>
      <c r="M156" s="231"/>
      <c r="N156" s="231"/>
      <c r="O156" s="231"/>
      <c r="P156" s="231"/>
      <c r="Q156" s="231"/>
      <c r="R156" s="231"/>
    </row>
    <row r="157" spans="1:18">
      <c r="A157" s="231"/>
      <c r="B157" s="231"/>
      <c r="C157" s="231"/>
      <c r="D157" s="231"/>
      <c r="E157" s="231"/>
      <c r="F157" s="231"/>
      <c r="G157" s="231"/>
      <c r="H157" s="231"/>
      <c r="I157" s="231"/>
      <c r="J157" s="231"/>
      <c r="K157" s="231"/>
      <c r="L157" s="231"/>
      <c r="M157" s="231"/>
      <c r="N157" s="231"/>
      <c r="O157" s="231"/>
      <c r="P157" s="231"/>
      <c r="Q157" s="231"/>
      <c r="R157" s="231"/>
    </row>
    <row r="158" spans="1:18">
      <c r="A158" s="231"/>
      <c r="B158" s="231"/>
      <c r="C158" s="231"/>
      <c r="D158" s="231"/>
      <c r="E158" s="231"/>
      <c r="F158" s="231"/>
      <c r="G158" s="231"/>
      <c r="H158" s="231"/>
      <c r="I158" s="231"/>
      <c r="J158" s="231"/>
      <c r="K158" s="231"/>
      <c r="L158" s="231"/>
      <c r="M158" s="231"/>
      <c r="N158" s="231"/>
      <c r="O158" s="231"/>
      <c r="P158" s="231"/>
      <c r="Q158" s="231"/>
      <c r="R158" s="231"/>
    </row>
    <row r="159" spans="1:18">
      <c r="A159" s="231"/>
      <c r="B159" s="231"/>
      <c r="C159" s="231"/>
      <c r="D159" s="231"/>
      <c r="E159" s="231"/>
      <c r="F159" s="231"/>
      <c r="G159" s="231"/>
      <c r="H159" s="231"/>
      <c r="I159" s="231"/>
      <c r="J159" s="231"/>
      <c r="K159" s="231"/>
      <c r="L159" s="231"/>
      <c r="M159" s="231"/>
      <c r="N159" s="231"/>
      <c r="O159" s="231"/>
      <c r="P159" s="231"/>
      <c r="Q159" s="231"/>
      <c r="R159" s="231"/>
    </row>
    <row r="160" spans="1:18">
      <c r="A160" s="231"/>
      <c r="B160" s="231"/>
      <c r="C160" s="231"/>
      <c r="D160" s="231"/>
      <c r="E160" s="231"/>
      <c r="F160" s="231"/>
      <c r="G160" s="231"/>
      <c r="H160" s="231"/>
      <c r="I160" s="231"/>
      <c r="J160" s="231"/>
      <c r="K160" s="231"/>
      <c r="L160" s="231"/>
      <c r="M160" s="231"/>
      <c r="N160" s="231"/>
      <c r="O160" s="231"/>
      <c r="P160" s="231"/>
      <c r="Q160" s="231"/>
      <c r="R160" s="231"/>
    </row>
    <row r="161" spans="1:18">
      <c r="A161" s="231"/>
      <c r="B161" s="231"/>
      <c r="C161" s="231"/>
      <c r="D161" s="231"/>
      <c r="E161" s="231"/>
      <c r="F161" s="231"/>
      <c r="G161" s="231"/>
      <c r="H161" s="231"/>
      <c r="I161" s="231"/>
      <c r="J161" s="231"/>
      <c r="K161" s="231"/>
      <c r="L161" s="231"/>
      <c r="M161" s="231"/>
      <c r="N161" s="231"/>
      <c r="O161" s="231"/>
      <c r="P161" s="231"/>
      <c r="Q161" s="231"/>
      <c r="R161" s="231"/>
    </row>
    <row r="162" spans="1:18">
      <c r="A162" s="231"/>
      <c r="B162" s="231"/>
      <c r="C162" s="231"/>
      <c r="D162" s="231"/>
      <c r="E162" s="231"/>
      <c r="F162" s="231"/>
      <c r="G162" s="231"/>
      <c r="H162" s="231"/>
      <c r="I162" s="231"/>
      <c r="J162" s="231"/>
      <c r="K162" s="231"/>
      <c r="L162" s="231"/>
      <c r="M162" s="231"/>
      <c r="N162" s="231"/>
      <c r="O162" s="231"/>
      <c r="P162" s="231"/>
      <c r="Q162" s="231"/>
      <c r="R162" s="231"/>
    </row>
    <row r="163" spans="1:18">
      <c r="A163" s="231"/>
      <c r="B163" s="231"/>
      <c r="C163" s="231"/>
      <c r="D163" s="231"/>
      <c r="E163" s="231"/>
      <c r="F163" s="231"/>
      <c r="G163" s="231"/>
      <c r="H163" s="231"/>
      <c r="I163" s="231"/>
      <c r="J163" s="231"/>
      <c r="K163" s="231"/>
      <c r="L163" s="231"/>
      <c r="M163" s="231"/>
      <c r="N163" s="231"/>
      <c r="O163" s="231"/>
      <c r="P163" s="231"/>
      <c r="Q163" s="231"/>
      <c r="R163" s="231"/>
    </row>
    <row r="164" spans="1:18">
      <c r="A164" s="231"/>
      <c r="B164" s="231"/>
      <c r="C164" s="231"/>
      <c r="D164" s="231"/>
      <c r="E164" s="231"/>
      <c r="F164" s="231"/>
      <c r="G164" s="231"/>
      <c r="H164" s="231"/>
      <c r="I164" s="231"/>
      <c r="J164" s="231"/>
      <c r="K164" s="231"/>
      <c r="L164" s="231"/>
      <c r="M164" s="231"/>
      <c r="N164" s="231"/>
      <c r="O164" s="231"/>
      <c r="P164" s="231"/>
      <c r="Q164" s="231"/>
      <c r="R164" s="231"/>
    </row>
    <row r="165" spans="1:18">
      <c r="A165" s="231"/>
      <c r="B165" s="231"/>
      <c r="C165" s="231"/>
      <c r="D165" s="231"/>
      <c r="E165" s="231"/>
      <c r="F165" s="231"/>
      <c r="G165" s="231"/>
      <c r="H165" s="231"/>
      <c r="I165" s="231"/>
      <c r="J165" s="231"/>
      <c r="K165" s="231"/>
      <c r="L165" s="231"/>
      <c r="M165" s="231"/>
      <c r="N165" s="231"/>
      <c r="O165" s="231"/>
      <c r="P165" s="231"/>
      <c r="Q165" s="231"/>
      <c r="R165" s="231"/>
    </row>
    <row r="166" spans="1:18">
      <c r="A166" s="231"/>
      <c r="B166" s="231"/>
      <c r="C166" s="231"/>
      <c r="D166" s="231"/>
      <c r="E166" s="231"/>
      <c r="F166" s="231"/>
      <c r="G166" s="231"/>
      <c r="H166" s="231"/>
      <c r="I166" s="231"/>
      <c r="J166" s="231"/>
      <c r="K166" s="231"/>
      <c r="L166" s="231"/>
      <c r="M166" s="231"/>
      <c r="N166" s="231"/>
      <c r="O166" s="231"/>
      <c r="P166" s="231"/>
      <c r="Q166" s="231"/>
      <c r="R166" s="231"/>
    </row>
    <row r="167" spans="1:18">
      <c r="A167" s="231"/>
      <c r="B167" s="231"/>
      <c r="C167" s="231"/>
      <c r="D167" s="231"/>
      <c r="E167" s="231"/>
      <c r="F167" s="231"/>
      <c r="G167" s="231"/>
      <c r="H167" s="231"/>
      <c r="I167" s="231"/>
      <c r="J167" s="231"/>
      <c r="K167" s="231"/>
      <c r="L167" s="231"/>
      <c r="M167" s="231"/>
      <c r="N167" s="231"/>
      <c r="O167" s="231"/>
      <c r="P167" s="231"/>
      <c r="Q167" s="231"/>
      <c r="R167" s="231"/>
    </row>
    <row r="168" spans="1:18">
      <c r="A168" s="231"/>
      <c r="B168" s="231"/>
      <c r="C168" s="231"/>
      <c r="D168" s="231"/>
      <c r="E168" s="231"/>
      <c r="F168" s="231"/>
      <c r="G168" s="231"/>
      <c r="H168" s="231"/>
      <c r="I168" s="231"/>
      <c r="J168" s="231"/>
      <c r="K168" s="231"/>
      <c r="L168" s="231"/>
      <c r="M168" s="231"/>
      <c r="N168" s="231"/>
      <c r="O168" s="231"/>
      <c r="P168" s="231"/>
      <c r="Q168" s="231"/>
      <c r="R168" s="231"/>
    </row>
    <row r="169" spans="1:18">
      <c r="A169" s="231"/>
      <c r="B169" s="231"/>
      <c r="C169" s="231"/>
      <c r="D169" s="231"/>
      <c r="E169" s="231"/>
      <c r="F169" s="231"/>
      <c r="G169" s="231"/>
      <c r="H169" s="231"/>
      <c r="I169" s="231"/>
      <c r="J169" s="231"/>
      <c r="K169" s="231"/>
      <c r="L169" s="231"/>
      <c r="M169" s="231"/>
      <c r="N169" s="231"/>
      <c r="O169" s="231"/>
      <c r="P169" s="231"/>
      <c r="Q169" s="231"/>
      <c r="R169" s="231"/>
    </row>
    <row r="170" spans="1:18">
      <c r="A170" s="231"/>
      <c r="B170" s="231"/>
      <c r="C170" s="231"/>
      <c r="D170" s="231"/>
      <c r="E170" s="231"/>
      <c r="F170" s="231"/>
      <c r="G170" s="231"/>
      <c r="H170" s="231"/>
      <c r="I170" s="231"/>
      <c r="J170" s="231"/>
      <c r="K170" s="231"/>
      <c r="L170" s="231"/>
      <c r="M170" s="231"/>
      <c r="N170" s="231"/>
      <c r="O170" s="231"/>
      <c r="P170" s="231"/>
      <c r="Q170" s="231"/>
      <c r="R170" s="231"/>
    </row>
    <row r="171" spans="1:18">
      <c r="A171" s="231"/>
      <c r="B171" s="231"/>
      <c r="C171" s="231"/>
      <c r="D171" s="231"/>
      <c r="E171" s="231"/>
      <c r="F171" s="231"/>
      <c r="G171" s="231"/>
      <c r="H171" s="231"/>
      <c r="I171" s="231"/>
      <c r="J171" s="231"/>
      <c r="K171" s="231"/>
      <c r="L171" s="231"/>
      <c r="M171" s="231"/>
      <c r="N171" s="231"/>
      <c r="O171" s="231"/>
      <c r="P171" s="231"/>
      <c r="Q171" s="231"/>
      <c r="R171" s="231"/>
    </row>
    <row r="172" spans="1:18">
      <c r="A172" s="231"/>
      <c r="B172" s="231"/>
      <c r="C172" s="231"/>
      <c r="D172" s="231"/>
      <c r="E172" s="231"/>
      <c r="F172" s="231"/>
      <c r="G172" s="231"/>
      <c r="H172" s="231"/>
      <c r="I172" s="231"/>
      <c r="J172" s="231"/>
      <c r="K172" s="231"/>
      <c r="L172" s="231"/>
      <c r="M172" s="231"/>
      <c r="N172" s="231"/>
      <c r="O172" s="231"/>
      <c r="P172" s="231"/>
      <c r="Q172" s="231"/>
      <c r="R172" s="231"/>
    </row>
    <row r="173" spans="1:18">
      <c r="A173" s="231"/>
      <c r="B173" s="231"/>
      <c r="C173" s="231"/>
      <c r="D173" s="231"/>
      <c r="E173" s="231"/>
      <c r="F173" s="231"/>
      <c r="G173" s="231"/>
      <c r="H173" s="231"/>
      <c r="I173" s="231"/>
      <c r="J173" s="231"/>
      <c r="K173" s="231"/>
      <c r="L173" s="231"/>
      <c r="M173" s="231"/>
      <c r="N173" s="231"/>
      <c r="O173" s="231"/>
      <c r="P173" s="231"/>
      <c r="Q173" s="231"/>
      <c r="R173" s="231"/>
    </row>
    <row r="174" spans="1:18">
      <c r="A174" s="231"/>
      <c r="B174" s="231"/>
      <c r="C174" s="231"/>
      <c r="D174" s="231"/>
      <c r="E174" s="231"/>
      <c r="F174" s="231"/>
      <c r="G174" s="231"/>
      <c r="H174" s="231"/>
      <c r="I174" s="231"/>
      <c r="J174" s="231"/>
      <c r="K174" s="231"/>
      <c r="L174" s="231"/>
      <c r="M174" s="231"/>
      <c r="N174" s="231"/>
      <c r="O174" s="231"/>
      <c r="P174" s="231"/>
      <c r="Q174" s="231"/>
      <c r="R174" s="231"/>
    </row>
    <row r="175" spans="1:18">
      <c r="A175" s="231"/>
      <c r="B175" s="231"/>
      <c r="C175" s="231"/>
      <c r="D175" s="231"/>
      <c r="E175" s="231"/>
      <c r="F175" s="231"/>
      <c r="G175" s="231"/>
      <c r="H175" s="231"/>
      <c r="I175" s="231"/>
      <c r="J175" s="231"/>
      <c r="K175" s="231"/>
      <c r="L175" s="231"/>
      <c r="M175" s="231"/>
      <c r="N175" s="231"/>
      <c r="O175" s="231"/>
      <c r="P175" s="231"/>
      <c r="Q175" s="231"/>
      <c r="R175" s="231"/>
    </row>
    <row r="176" spans="1:18">
      <c r="A176" s="231"/>
      <c r="B176" s="231"/>
      <c r="C176" s="231"/>
      <c r="D176" s="231"/>
      <c r="E176" s="231"/>
      <c r="F176" s="231"/>
      <c r="G176" s="231"/>
      <c r="H176" s="231"/>
      <c r="I176" s="231"/>
      <c r="J176" s="231"/>
      <c r="K176" s="231"/>
      <c r="L176" s="231"/>
      <c r="M176" s="231"/>
      <c r="N176" s="231"/>
      <c r="O176" s="231"/>
      <c r="P176" s="231"/>
      <c r="Q176" s="231"/>
      <c r="R176" s="231"/>
    </row>
    <row r="177" spans="1:18">
      <c r="A177" s="231"/>
      <c r="B177" s="231"/>
      <c r="C177" s="231"/>
      <c r="D177" s="231"/>
      <c r="E177" s="231"/>
      <c r="F177" s="231"/>
      <c r="G177" s="231"/>
      <c r="H177" s="231"/>
      <c r="I177" s="231"/>
      <c r="J177" s="231"/>
      <c r="K177" s="231"/>
      <c r="L177" s="231"/>
      <c r="M177" s="231"/>
      <c r="N177" s="231"/>
      <c r="O177" s="231"/>
      <c r="P177" s="231"/>
      <c r="Q177" s="231"/>
      <c r="R177" s="231"/>
    </row>
    <row r="178" spans="1:18">
      <c r="A178" s="231"/>
      <c r="B178" s="231"/>
      <c r="C178" s="231"/>
      <c r="D178" s="231"/>
      <c r="E178" s="231"/>
      <c r="F178" s="231"/>
      <c r="G178" s="231"/>
      <c r="H178" s="231"/>
      <c r="I178" s="231"/>
      <c r="J178" s="231"/>
      <c r="K178" s="231"/>
      <c r="L178" s="231"/>
      <c r="M178" s="231"/>
      <c r="N178" s="231"/>
      <c r="O178" s="231"/>
      <c r="P178" s="231"/>
      <c r="Q178" s="231"/>
      <c r="R178" s="231"/>
    </row>
    <row r="179" spans="1:18">
      <c r="A179" s="231"/>
      <c r="B179" s="231"/>
      <c r="C179" s="231"/>
      <c r="D179" s="231"/>
      <c r="E179" s="231"/>
      <c r="F179" s="231"/>
      <c r="G179" s="231"/>
      <c r="H179" s="231"/>
      <c r="I179" s="231"/>
      <c r="J179" s="231"/>
      <c r="K179" s="231"/>
      <c r="L179" s="231"/>
      <c r="M179" s="231"/>
      <c r="N179" s="231"/>
      <c r="O179" s="231"/>
      <c r="P179" s="231"/>
      <c r="Q179" s="231"/>
      <c r="R179" s="231"/>
    </row>
    <row r="180" spans="1:18">
      <c r="A180" s="231"/>
      <c r="B180" s="231"/>
      <c r="C180" s="231"/>
      <c r="D180" s="231"/>
      <c r="E180" s="231"/>
      <c r="F180" s="231"/>
      <c r="G180" s="231"/>
      <c r="H180" s="231"/>
      <c r="I180" s="231"/>
      <c r="J180" s="231"/>
      <c r="K180" s="231"/>
      <c r="L180" s="231"/>
      <c r="M180" s="231"/>
      <c r="N180" s="231"/>
      <c r="O180" s="231"/>
      <c r="P180" s="231"/>
      <c r="Q180" s="231"/>
      <c r="R180" s="231"/>
    </row>
    <row r="181" spans="1:18">
      <c r="A181" s="231"/>
      <c r="B181" s="231"/>
      <c r="C181" s="231"/>
      <c r="D181" s="231"/>
      <c r="E181" s="231"/>
      <c r="F181" s="231"/>
      <c r="G181" s="231"/>
      <c r="H181" s="231"/>
      <c r="I181" s="231"/>
      <c r="J181" s="231"/>
      <c r="K181" s="231"/>
      <c r="L181" s="231"/>
      <c r="M181" s="231"/>
      <c r="N181" s="231"/>
      <c r="O181" s="231"/>
      <c r="P181" s="231"/>
      <c r="Q181" s="231"/>
      <c r="R181" s="231"/>
    </row>
    <row r="182" spans="1:18">
      <c r="A182" s="231"/>
      <c r="B182" s="231"/>
      <c r="C182" s="231"/>
      <c r="D182" s="231"/>
      <c r="E182" s="231"/>
      <c r="F182" s="231"/>
      <c r="G182" s="231"/>
      <c r="H182" s="231"/>
      <c r="I182" s="231"/>
      <c r="J182" s="231"/>
      <c r="K182" s="231"/>
      <c r="L182" s="231"/>
      <c r="M182" s="231"/>
      <c r="N182" s="231"/>
      <c r="O182" s="231"/>
      <c r="P182" s="231"/>
      <c r="Q182" s="231"/>
      <c r="R182" s="231"/>
    </row>
    <row r="183" spans="1:18">
      <c r="A183" s="231"/>
      <c r="B183" s="231"/>
      <c r="C183" s="231"/>
      <c r="D183" s="231"/>
      <c r="E183" s="231"/>
      <c r="F183" s="231"/>
      <c r="G183" s="231"/>
      <c r="H183" s="231"/>
      <c r="I183" s="231"/>
      <c r="J183" s="231"/>
      <c r="K183" s="231"/>
      <c r="L183" s="231"/>
      <c r="M183" s="231"/>
      <c r="N183" s="231"/>
      <c r="O183" s="231"/>
      <c r="P183" s="231"/>
      <c r="Q183" s="231"/>
      <c r="R183" s="231"/>
    </row>
    <row r="184" spans="1:18">
      <c r="A184" s="231"/>
      <c r="B184" s="231"/>
      <c r="C184" s="231"/>
      <c r="D184" s="231"/>
      <c r="E184" s="231"/>
      <c r="F184" s="231"/>
      <c r="G184" s="231"/>
      <c r="H184" s="231"/>
      <c r="I184" s="231"/>
      <c r="J184" s="231"/>
      <c r="K184" s="231"/>
      <c r="L184" s="231"/>
      <c r="M184" s="231"/>
      <c r="N184" s="231"/>
      <c r="O184" s="231"/>
      <c r="P184" s="231"/>
      <c r="Q184" s="231"/>
      <c r="R184" s="231"/>
    </row>
    <row r="185" spans="1:18">
      <c r="A185" s="231"/>
      <c r="B185" s="231"/>
      <c r="C185" s="231"/>
      <c r="D185" s="231"/>
      <c r="E185" s="231"/>
      <c r="F185" s="231"/>
      <c r="G185" s="231"/>
      <c r="H185" s="231"/>
      <c r="I185" s="231"/>
      <c r="J185" s="231"/>
      <c r="K185" s="231"/>
      <c r="L185" s="231"/>
      <c r="M185" s="231"/>
      <c r="N185" s="231"/>
      <c r="O185" s="231"/>
      <c r="P185" s="231"/>
      <c r="Q185" s="231"/>
      <c r="R185" s="231"/>
    </row>
    <row r="186" spans="1:18">
      <c r="A186" s="231"/>
      <c r="B186" s="231"/>
      <c r="C186" s="231"/>
      <c r="D186" s="231"/>
      <c r="E186" s="231"/>
      <c r="F186" s="231"/>
      <c r="G186" s="231"/>
      <c r="H186" s="231"/>
      <c r="I186" s="231"/>
      <c r="J186" s="231"/>
      <c r="K186" s="231"/>
      <c r="L186" s="231"/>
      <c r="M186" s="231"/>
      <c r="N186" s="231"/>
      <c r="O186" s="231"/>
      <c r="P186" s="231"/>
      <c r="Q186" s="231"/>
      <c r="R186" s="231"/>
    </row>
    <row r="187" spans="1:18">
      <c r="A187" s="231"/>
      <c r="B187" s="231"/>
      <c r="C187" s="231"/>
      <c r="D187" s="231"/>
      <c r="E187" s="231"/>
      <c r="F187" s="231"/>
      <c r="G187" s="231"/>
      <c r="H187" s="231"/>
      <c r="I187" s="231"/>
      <c r="J187" s="231"/>
      <c r="K187" s="231"/>
      <c r="L187" s="231"/>
      <c r="M187" s="231"/>
      <c r="N187" s="231"/>
      <c r="O187" s="231"/>
      <c r="P187" s="231"/>
      <c r="Q187" s="231"/>
      <c r="R187" s="231"/>
    </row>
    <row r="188" spans="1:18">
      <c r="A188" s="231"/>
      <c r="B188" s="231"/>
      <c r="C188" s="231"/>
      <c r="D188" s="231"/>
      <c r="E188" s="231"/>
      <c r="F188" s="231"/>
      <c r="G188" s="231"/>
      <c r="H188" s="231"/>
      <c r="I188" s="231"/>
      <c r="J188" s="231"/>
      <c r="K188" s="231"/>
      <c r="L188" s="231"/>
      <c r="M188" s="231"/>
      <c r="N188" s="231"/>
      <c r="O188" s="231"/>
      <c r="P188" s="231"/>
      <c r="Q188" s="231"/>
      <c r="R188" s="231"/>
    </row>
    <row r="189" spans="1:18">
      <c r="A189" s="231"/>
      <c r="B189" s="231"/>
      <c r="C189" s="231"/>
      <c r="D189" s="231"/>
      <c r="E189" s="231"/>
      <c r="F189" s="231"/>
      <c r="G189" s="231"/>
      <c r="H189" s="231"/>
      <c r="I189" s="231"/>
      <c r="J189" s="231"/>
      <c r="K189" s="231"/>
      <c r="L189" s="231"/>
      <c r="M189" s="231"/>
      <c r="N189" s="231"/>
      <c r="O189" s="231"/>
      <c r="P189" s="231"/>
      <c r="Q189" s="231"/>
      <c r="R189" s="231"/>
    </row>
    <row r="190" spans="1:18">
      <c r="A190" s="231"/>
      <c r="B190" s="231"/>
      <c r="C190" s="231"/>
      <c r="D190" s="231"/>
      <c r="E190" s="231"/>
      <c r="F190" s="231"/>
      <c r="G190" s="231"/>
      <c r="H190" s="231"/>
      <c r="I190" s="231"/>
      <c r="J190" s="231"/>
      <c r="K190" s="231"/>
      <c r="L190" s="231"/>
      <c r="M190" s="231"/>
      <c r="N190" s="231"/>
      <c r="O190" s="231"/>
      <c r="P190" s="231"/>
      <c r="Q190" s="231"/>
      <c r="R190" s="231"/>
    </row>
    <row r="191" spans="1:18">
      <c r="A191" s="231"/>
      <c r="B191" s="231"/>
      <c r="C191" s="231"/>
      <c r="D191" s="231"/>
      <c r="E191" s="231"/>
      <c r="F191" s="231"/>
      <c r="G191" s="231"/>
      <c r="H191" s="231"/>
      <c r="I191" s="231"/>
      <c r="J191" s="231"/>
      <c r="K191" s="231"/>
      <c r="L191" s="231"/>
      <c r="M191" s="231"/>
      <c r="N191" s="231"/>
      <c r="O191" s="231"/>
      <c r="P191" s="231"/>
      <c r="Q191" s="231"/>
      <c r="R191" s="231"/>
    </row>
    <row r="192" spans="1:18">
      <c r="A192" s="231"/>
      <c r="B192" s="231"/>
      <c r="C192" s="231"/>
      <c r="D192" s="231"/>
      <c r="E192" s="231"/>
      <c r="F192" s="231"/>
      <c r="G192" s="231"/>
      <c r="H192" s="231"/>
      <c r="I192" s="231"/>
      <c r="J192" s="231"/>
      <c r="K192" s="231"/>
      <c r="L192" s="231"/>
      <c r="M192" s="231"/>
      <c r="N192" s="231"/>
      <c r="O192" s="231"/>
      <c r="P192" s="231"/>
      <c r="Q192" s="231"/>
      <c r="R192" s="231"/>
    </row>
    <row r="193" spans="1:18">
      <c r="A193" s="231"/>
      <c r="B193" s="231"/>
      <c r="C193" s="231"/>
      <c r="D193" s="231"/>
      <c r="E193" s="231"/>
      <c r="F193" s="231"/>
      <c r="G193" s="231"/>
      <c r="H193" s="231"/>
      <c r="I193" s="231"/>
      <c r="J193" s="231"/>
      <c r="K193" s="231"/>
      <c r="L193" s="231"/>
      <c r="M193" s="231"/>
      <c r="N193" s="231"/>
      <c r="O193" s="231"/>
      <c r="P193" s="231"/>
      <c r="Q193" s="231"/>
      <c r="R193" s="231"/>
    </row>
    <row r="194" spans="1:18">
      <c r="A194" s="231"/>
      <c r="B194" s="231"/>
      <c r="C194" s="231"/>
      <c r="D194" s="231"/>
      <c r="E194" s="231"/>
      <c r="F194" s="231"/>
      <c r="G194" s="231"/>
      <c r="H194" s="231"/>
      <c r="I194" s="231"/>
      <c r="J194" s="231"/>
      <c r="K194" s="231"/>
      <c r="L194" s="231"/>
      <c r="M194" s="231"/>
      <c r="N194" s="231"/>
      <c r="O194" s="231"/>
      <c r="P194" s="231"/>
      <c r="Q194" s="231"/>
      <c r="R194" s="231"/>
    </row>
    <row r="195" spans="1:18">
      <c r="A195" s="231"/>
      <c r="B195" s="231"/>
      <c r="C195" s="231"/>
      <c r="D195" s="231"/>
      <c r="E195" s="231"/>
      <c r="F195" s="231"/>
      <c r="G195" s="231"/>
      <c r="H195" s="231"/>
      <c r="I195" s="231"/>
      <c r="J195" s="231"/>
      <c r="K195" s="231"/>
      <c r="L195" s="231"/>
      <c r="M195" s="231"/>
      <c r="N195" s="231"/>
      <c r="O195" s="231"/>
      <c r="P195" s="231"/>
      <c r="Q195" s="231"/>
      <c r="R195" s="231"/>
    </row>
    <row r="196" spans="1:18">
      <c r="A196" s="231"/>
      <c r="B196" s="231"/>
      <c r="C196" s="231"/>
      <c r="D196" s="231"/>
      <c r="E196" s="231"/>
      <c r="F196" s="231"/>
      <c r="G196" s="231"/>
      <c r="H196" s="231"/>
      <c r="I196" s="231"/>
      <c r="J196" s="231"/>
      <c r="K196" s="231"/>
      <c r="L196" s="231"/>
      <c r="M196" s="231"/>
      <c r="N196" s="231"/>
      <c r="O196" s="231"/>
      <c r="P196" s="231"/>
      <c r="Q196" s="231"/>
      <c r="R196" s="231"/>
    </row>
    <row r="197" spans="1:18">
      <c r="A197" s="231"/>
      <c r="B197" s="231"/>
      <c r="C197" s="231"/>
      <c r="D197" s="231"/>
      <c r="E197" s="231"/>
      <c r="F197" s="231"/>
      <c r="G197" s="231"/>
      <c r="H197" s="231"/>
      <c r="I197" s="231"/>
      <c r="J197" s="231"/>
      <c r="K197" s="231"/>
      <c r="L197" s="231"/>
      <c r="M197" s="231"/>
      <c r="N197" s="231"/>
      <c r="O197" s="231"/>
      <c r="P197" s="231"/>
      <c r="Q197" s="231"/>
      <c r="R197" s="231"/>
    </row>
    <row r="198" spans="1:18">
      <c r="A198" s="231"/>
      <c r="B198" s="231"/>
      <c r="C198" s="231"/>
      <c r="D198" s="231"/>
      <c r="E198" s="231"/>
      <c r="F198" s="231"/>
      <c r="G198" s="231"/>
      <c r="H198" s="231"/>
      <c r="I198" s="231"/>
      <c r="J198" s="231"/>
      <c r="K198" s="231"/>
      <c r="L198" s="231"/>
      <c r="M198" s="231"/>
      <c r="N198" s="231"/>
      <c r="O198" s="231"/>
      <c r="P198" s="231"/>
      <c r="Q198" s="231"/>
      <c r="R198" s="231"/>
    </row>
    <row r="199" spans="1:18">
      <c r="A199" s="231"/>
      <c r="B199" s="231"/>
      <c r="C199" s="231"/>
      <c r="D199" s="231"/>
      <c r="E199" s="231"/>
      <c r="F199" s="231"/>
      <c r="G199" s="231"/>
      <c r="H199" s="231"/>
      <c r="I199" s="231"/>
      <c r="J199" s="231"/>
      <c r="K199" s="231"/>
      <c r="L199" s="231"/>
      <c r="M199" s="231"/>
      <c r="N199" s="231"/>
      <c r="O199" s="231"/>
      <c r="P199" s="231"/>
      <c r="Q199" s="231"/>
      <c r="R199" s="231"/>
    </row>
    <row r="200" spans="1:18">
      <c r="A200" s="231"/>
      <c r="B200" s="231"/>
      <c r="C200" s="231"/>
      <c r="D200" s="231"/>
      <c r="E200" s="231"/>
      <c r="F200" s="231"/>
      <c r="G200" s="231"/>
      <c r="H200" s="231"/>
      <c r="I200" s="231"/>
      <c r="J200" s="231"/>
      <c r="K200" s="231"/>
      <c r="L200" s="231"/>
      <c r="M200" s="231"/>
      <c r="N200" s="231"/>
      <c r="O200" s="231"/>
      <c r="P200" s="231"/>
      <c r="Q200" s="231"/>
      <c r="R200" s="231"/>
    </row>
    <row r="201" spans="1:18">
      <c r="A201" s="231"/>
      <c r="B201" s="231"/>
      <c r="C201" s="231"/>
      <c r="D201" s="231"/>
      <c r="E201" s="231"/>
      <c r="F201" s="231"/>
      <c r="G201" s="231"/>
      <c r="H201" s="231"/>
      <c r="I201" s="231"/>
      <c r="J201" s="231"/>
      <c r="K201" s="231"/>
      <c r="L201" s="231"/>
      <c r="M201" s="231"/>
      <c r="N201" s="231"/>
      <c r="O201" s="231"/>
      <c r="P201" s="231"/>
      <c r="Q201" s="231"/>
      <c r="R201" s="231"/>
    </row>
    <row r="202" spans="1:18">
      <c r="A202" s="231"/>
      <c r="B202" s="231"/>
      <c r="C202" s="231"/>
      <c r="D202" s="231"/>
      <c r="E202" s="231"/>
      <c r="F202" s="231"/>
      <c r="G202" s="231"/>
      <c r="H202" s="231"/>
      <c r="I202" s="231"/>
      <c r="J202" s="231"/>
      <c r="K202" s="231"/>
      <c r="L202" s="231"/>
      <c r="M202" s="231"/>
      <c r="N202" s="231"/>
      <c r="O202" s="231"/>
      <c r="P202" s="231"/>
      <c r="Q202" s="231"/>
      <c r="R202" s="231"/>
    </row>
    <row r="203" spans="1:18">
      <c r="A203" s="231"/>
      <c r="B203" s="231"/>
      <c r="C203" s="231"/>
      <c r="D203" s="231"/>
      <c r="E203" s="231"/>
      <c r="F203" s="231"/>
      <c r="G203" s="231"/>
      <c r="H203" s="231"/>
      <c r="I203" s="231"/>
      <c r="J203" s="231"/>
      <c r="K203" s="231"/>
      <c r="L203" s="231"/>
      <c r="M203" s="231"/>
      <c r="N203" s="231"/>
      <c r="O203" s="231"/>
      <c r="P203" s="231"/>
      <c r="Q203" s="231"/>
      <c r="R203" s="231"/>
    </row>
    <row r="204" spans="1:18">
      <c r="A204" s="231"/>
      <c r="B204" s="231"/>
      <c r="C204" s="231"/>
      <c r="D204" s="231"/>
      <c r="E204" s="231"/>
      <c r="F204" s="231"/>
      <c r="G204" s="231"/>
      <c r="H204" s="231"/>
      <c r="I204" s="231"/>
      <c r="J204" s="231"/>
      <c r="K204" s="231"/>
      <c r="L204" s="231"/>
      <c r="M204" s="231"/>
      <c r="N204" s="231"/>
      <c r="O204" s="231"/>
      <c r="P204" s="231"/>
      <c r="Q204" s="231"/>
      <c r="R204" s="231"/>
    </row>
    <row r="205" spans="1:18">
      <c r="A205" s="231"/>
      <c r="B205" s="231"/>
      <c r="C205" s="231"/>
      <c r="D205" s="231"/>
      <c r="E205" s="231"/>
      <c r="F205" s="231"/>
      <c r="G205" s="231"/>
      <c r="H205" s="231"/>
      <c r="I205" s="231"/>
      <c r="J205" s="231"/>
      <c r="K205" s="231"/>
      <c r="L205" s="231"/>
      <c r="M205" s="231"/>
      <c r="N205" s="231"/>
      <c r="O205" s="231"/>
      <c r="P205" s="231"/>
      <c r="Q205" s="231"/>
      <c r="R205" s="231"/>
    </row>
    <row r="206" spans="1:18">
      <c r="A206" s="231"/>
      <c r="B206" s="231"/>
      <c r="C206" s="231"/>
      <c r="D206" s="231"/>
      <c r="E206" s="231"/>
      <c r="F206" s="231"/>
      <c r="G206" s="231"/>
      <c r="H206" s="231"/>
      <c r="I206" s="231"/>
      <c r="J206" s="231"/>
      <c r="K206" s="231"/>
      <c r="L206" s="231"/>
      <c r="M206" s="231"/>
      <c r="N206" s="231"/>
      <c r="O206" s="231"/>
      <c r="P206" s="231"/>
      <c r="Q206" s="231"/>
      <c r="R206" s="231"/>
    </row>
    <row r="207" spans="1:18">
      <c r="A207" s="231"/>
      <c r="B207" s="231"/>
      <c r="C207" s="231"/>
      <c r="D207" s="231"/>
      <c r="E207" s="231"/>
      <c r="F207" s="231"/>
      <c r="G207" s="231"/>
      <c r="H207" s="231"/>
      <c r="I207" s="231"/>
      <c r="J207" s="231"/>
      <c r="K207" s="231"/>
      <c r="L207" s="231"/>
      <c r="M207" s="231"/>
      <c r="N207" s="231"/>
      <c r="O207" s="231"/>
      <c r="P207" s="231"/>
      <c r="Q207" s="231"/>
      <c r="R207" s="231"/>
    </row>
    <row r="208" spans="1:18">
      <c r="A208" s="231"/>
      <c r="B208" s="231"/>
      <c r="C208" s="231"/>
      <c r="D208" s="231"/>
      <c r="E208" s="231"/>
      <c r="F208" s="231"/>
      <c r="G208" s="231"/>
      <c r="H208" s="231"/>
      <c r="I208" s="231"/>
      <c r="J208" s="231"/>
      <c r="K208" s="231"/>
      <c r="L208" s="231"/>
      <c r="M208" s="231"/>
      <c r="N208" s="231"/>
      <c r="O208" s="231"/>
      <c r="P208" s="231"/>
      <c r="Q208" s="231"/>
      <c r="R208" s="231"/>
    </row>
    <row r="209" spans="1:18">
      <c r="A209" s="231"/>
      <c r="B209" s="231"/>
      <c r="C209" s="231"/>
      <c r="D209" s="231"/>
      <c r="E209" s="231"/>
      <c r="F209" s="231"/>
      <c r="G209" s="231"/>
      <c r="H209" s="231"/>
      <c r="I209" s="231"/>
      <c r="J209" s="231"/>
      <c r="K209" s="231"/>
      <c r="L209" s="231"/>
      <c r="M209" s="231"/>
      <c r="N209" s="231"/>
      <c r="O209" s="231"/>
      <c r="P209" s="231"/>
      <c r="Q209" s="231"/>
      <c r="R209" s="231"/>
    </row>
    <row r="210" spans="1:18">
      <c r="A210" s="231"/>
      <c r="B210" s="231"/>
      <c r="C210" s="231"/>
      <c r="D210" s="231"/>
      <c r="E210" s="231"/>
      <c r="F210" s="231"/>
      <c r="G210" s="231"/>
      <c r="H210" s="231"/>
      <c r="I210" s="231"/>
      <c r="J210" s="231"/>
      <c r="K210" s="231"/>
      <c r="L210" s="231"/>
      <c r="M210" s="231"/>
      <c r="N210" s="231"/>
      <c r="O210" s="231"/>
      <c r="P210" s="231"/>
      <c r="Q210" s="231"/>
      <c r="R210" s="231"/>
    </row>
    <row r="211" spans="1:18">
      <c r="A211" s="231"/>
      <c r="B211" s="231"/>
      <c r="C211" s="231"/>
      <c r="D211" s="231"/>
      <c r="E211" s="231"/>
      <c r="F211" s="231"/>
      <c r="G211" s="231"/>
      <c r="H211" s="231"/>
      <c r="I211" s="231"/>
      <c r="J211" s="231"/>
      <c r="K211" s="231"/>
      <c r="L211" s="231"/>
      <c r="M211" s="231"/>
      <c r="N211" s="231"/>
      <c r="O211" s="231"/>
      <c r="P211" s="231"/>
      <c r="Q211" s="231"/>
      <c r="R211" s="231"/>
    </row>
    <row r="212" spans="1:18">
      <c r="A212" s="231"/>
      <c r="B212" s="231"/>
      <c r="C212" s="231"/>
      <c r="D212" s="231"/>
      <c r="E212" s="231"/>
      <c r="F212" s="231"/>
      <c r="G212" s="231"/>
      <c r="H212" s="231"/>
      <c r="I212" s="231"/>
      <c r="J212" s="231"/>
      <c r="K212" s="231"/>
      <c r="L212" s="231"/>
      <c r="M212" s="231"/>
      <c r="N212" s="231"/>
      <c r="O212" s="231"/>
      <c r="P212" s="231"/>
      <c r="Q212" s="231"/>
      <c r="R212" s="231"/>
    </row>
    <row r="213" spans="1:18">
      <c r="A213" s="231"/>
      <c r="B213" s="231"/>
      <c r="C213" s="231"/>
      <c r="D213" s="231"/>
      <c r="E213" s="231"/>
      <c r="F213" s="231"/>
      <c r="G213" s="231"/>
      <c r="H213" s="231"/>
      <c r="I213" s="231"/>
      <c r="J213" s="231"/>
      <c r="K213" s="231"/>
      <c r="L213" s="231"/>
      <c r="M213" s="231"/>
      <c r="N213" s="231"/>
      <c r="O213" s="231"/>
      <c r="P213" s="231"/>
      <c r="Q213" s="231"/>
      <c r="R213" s="231"/>
    </row>
    <row r="214" spans="1:18">
      <c r="A214" s="231"/>
      <c r="B214" s="231"/>
      <c r="C214" s="231"/>
      <c r="D214" s="231"/>
      <c r="E214" s="231"/>
      <c r="F214" s="231"/>
      <c r="G214" s="231"/>
      <c r="H214" s="231"/>
      <c r="I214" s="231"/>
      <c r="J214" s="231"/>
      <c r="K214" s="231"/>
      <c r="L214" s="231"/>
      <c r="M214" s="231"/>
      <c r="N214" s="231"/>
      <c r="O214" s="231"/>
      <c r="P214" s="231"/>
      <c r="Q214" s="231"/>
      <c r="R214" s="231"/>
    </row>
    <row r="215" spans="1:18">
      <c r="A215" s="231"/>
      <c r="B215" s="231"/>
      <c r="C215" s="231"/>
      <c r="D215" s="231"/>
      <c r="E215" s="231"/>
      <c r="F215" s="231"/>
      <c r="G215" s="231"/>
      <c r="H215" s="231"/>
      <c r="I215" s="231"/>
      <c r="J215" s="231"/>
      <c r="K215" s="231"/>
      <c r="L215" s="231"/>
      <c r="M215" s="231"/>
      <c r="N215" s="231"/>
      <c r="O215" s="231"/>
      <c r="P215" s="231"/>
      <c r="Q215" s="231"/>
      <c r="R215" s="231"/>
    </row>
    <row r="216" spans="1:18">
      <c r="A216" s="231"/>
      <c r="B216" s="231"/>
      <c r="C216" s="231"/>
      <c r="D216" s="231"/>
      <c r="E216" s="231"/>
      <c r="F216" s="231"/>
      <c r="G216" s="231"/>
      <c r="H216" s="231"/>
      <c r="I216" s="231"/>
      <c r="J216" s="231"/>
      <c r="K216" s="231"/>
      <c r="L216" s="231"/>
      <c r="M216" s="231"/>
      <c r="N216" s="231"/>
      <c r="O216" s="231"/>
      <c r="P216" s="231"/>
      <c r="Q216" s="231"/>
      <c r="R216" s="231"/>
    </row>
    <row r="217" spans="1:18">
      <c r="A217" s="231"/>
      <c r="B217" s="231"/>
      <c r="C217" s="231"/>
      <c r="D217" s="231"/>
      <c r="E217" s="231"/>
      <c r="F217" s="231"/>
      <c r="G217" s="231"/>
      <c r="H217" s="231"/>
      <c r="I217" s="231"/>
      <c r="J217" s="231"/>
      <c r="K217" s="231"/>
      <c r="L217" s="231"/>
      <c r="M217" s="231"/>
      <c r="N217" s="231"/>
      <c r="O217" s="231"/>
      <c r="P217" s="231"/>
      <c r="Q217" s="231"/>
      <c r="R217" s="231"/>
    </row>
    <row r="218" spans="1:18">
      <c r="A218" s="231"/>
      <c r="B218" s="231"/>
      <c r="C218" s="231"/>
      <c r="D218" s="231"/>
      <c r="E218" s="231"/>
      <c r="F218" s="231"/>
      <c r="G218" s="231"/>
      <c r="H218" s="231"/>
      <c r="I218" s="231"/>
      <c r="J218" s="231"/>
      <c r="K218" s="231"/>
      <c r="L218" s="231"/>
      <c r="M218" s="231"/>
      <c r="N218" s="231"/>
      <c r="O218" s="231"/>
      <c r="P218" s="231"/>
      <c r="Q218" s="231"/>
      <c r="R218" s="231"/>
    </row>
    <row r="219" spans="1:18">
      <c r="A219" s="231"/>
      <c r="B219" s="231"/>
      <c r="C219" s="231"/>
      <c r="D219" s="231"/>
      <c r="E219" s="231"/>
      <c r="F219" s="231"/>
      <c r="G219" s="231"/>
      <c r="H219" s="231"/>
      <c r="I219" s="231"/>
      <c r="J219" s="231"/>
      <c r="K219" s="231"/>
      <c r="L219" s="231"/>
      <c r="M219" s="231"/>
      <c r="N219" s="231"/>
      <c r="O219" s="231"/>
      <c r="P219" s="231"/>
      <c r="Q219" s="231"/>
      <c r="R219" s="231"/>
    </row>
    <row r="220" spans="1:18">
      <c r="A220" s="231"/>
      <c r="B220" s="231"/>
      <c r="C220" s="231"/>
      <c r="D220" s="231"/>
      <c r="E220" s="231"/>
      <c r="F220" s="231"/>
      <c r="G220" s="231"/>
      <c r="H220" s="231"/>
      <c r="I220" s="231"/>
      <c r="J220" s="231"/>
      <c r="K220" s="231"/>
      <c r="L220" s="231"/>
      <c r="M220" s="231"/>
      <c r="N220" s="231"/>
      <c r="O220" s="231"/>
      <c r="P220" s="231"/>
      <c r="Q220" s="231"/>
      <c r="R220" s="231"/>
    </row>
    <row r="221" spans="1:18">
      <c r="A221" s="231"/>
      <c r="B221" s="231"/>
      <c r="C221" s="231"/>
      <c r="D221" s="231"/>
      <c r="E221" s="231"/>
      <c r="F221" s="231"/>
      <c r="G221" s="231"/>
      <c r="H221" s="231"/>
      <c r="I221" s="231"/>
      <c r="J221" s="231"/>
      <c r="K221" s="231"/>
      <c r="L221" s="231"/>
      <c r="M221" s="231"/>
      <c r="N221" s="231"/>
      <c r="O221" s="231"/>
      <c r="P221" s="231"/>
      <c r="Q221" s="231"/>
      <c r="R221" s="231"/>
    </row>
    <row r="222" spans="1:18">
      <c r="A222" s="231"/>
      <c r="B222" s="231"/>
      <c r="C222" s="231"/>
      <c r="D222" s="231"/>
      <c r="E222" s="231"/>
      <c r="F222" s="231"/>
      <c r="G222" s="231"/>
      <c r="H222" s="231"/>
      <c r="I222" s="231"/>
      <c r="J222" s="231"/>
      <c r="K222" s="231"/>
      <c r="L222" s="231"/>
      <c r="M222" s="231"/>
      <c r="N222" s="231"/>
      <c r="O222" s="231"/>
      <c r="P222" s="231"/>
      <c r="Q222" s="231"/>
      <c r="R222" s="231"/>
    </row>
    <row r="223" spans="1:18">
      <c r="A223" s="231"/>
      <c r="B223" s="231"/>
      <c r="C223" s="231"/>
      <c r="D223" s="231"/>
      <c r="E223" s="231"/>
      <c r="F223" s="231"/>
      <c r="G223" s="231"/>
      <c r="H223" s="231"/>
      <c r="I223" s="231"/>
      <c r="J223" s="231"/>
      <c r="K223" s="231"/>
      <c r="L223" s="231"/>
      <c r="M223" s="231"/>
      <c r="N223" s="231"/>
      <c r="O223" s="231"/>
      <c r="P223" s="231"/>
      <c r="Q223" s="231"/>
      <c r="R223" s="231"/>
    </row>
    <row r="224" spans="1:18">
      <c r="A224" s="231"/>
      <c r="B224" s="231"/>
      <c r="C224" s="231"/>
      <c r="D224" s="231"/>
      <c r="E224" s="231"/>
      <c r="F224" s="231"/>
      <c r="G224" s="231"/>
      <c r="H224" s="231"/>
      <c r="I224" s="231"/>
      <c r="J224" s="231"/>
      <c r="K224" s="231"/>
      <c r="L224" s="231"/>
      <c r="M224" s="231"/>
      <c r="N224" s="231"/>
      <c r="O224" s="231"/>
      <c r="P224" s="231"/>
      <c r="Q224" s="231"/>
      <c r="R224" s="231"/>
    </row>
    <row r="225" spans="1:18">
      <c r="A225" s="231"/>
      <c r="B225" s="231"/>
      <c r="C225" s="231"/>
      <c r="D225" s="231"/>
      <c r="E225" s="231"/>
      <c r="F225" s="231"/>
      <c r="G225" s="231"/>
      <c r="H225" s="231"/>
      <c r="I225" s="231"/>
      <c r="J225" s="231"/>
      <c r="K225" s="231"/>
      <c r="L225" s="231"/>
      <c r="M225" s="231"/>
      <c r="N225" s="231"/>
      <c r="O225" s="231"/>
      <c r="P225" s="231"/>
      <c r="Q225" s="231"/>
      <c r="R225" s="231"/>
    </row>
    <row r="226" spans="1:18">
      <c r="A226" s="231"/>
      <c r="B226" s="231"/>
      <c r="C226" s="231"/>
      <c r="D226" s="231"/>
      <c r="E226" s="231"/>
      <c r="F226" s="231"/>
      <c r="G226" s="231"/>
      <c r="H226" s="231"/>
      <c r="I226" s="231"/>
      <c r="J226" s="231"/>
      <c r="K226" s="231"/>
      <c r="L226" s="231"/>
      <c r="M226" s="231"/>
      <c r="N226" s="231"/>
      <c r="O226" s="231"/>
      <c r="P226" s="231"/>
      <c r="Q226" s="231"/>
      <c r="R226" s="231"/>
    </row>
    <row r="227" spans="1:18">
      <c r="A227" s="231"/>
      <c r="B227" s="231"/>
      <c r="C227" s="231"/>
      <c r="D227" s="231"/>
      <c r="E227" s="231"/>
      <c r="F227" s="231"/>
      <c r="G227" s="231"/>
      <c r="H227" s="231"/>
      <c r="I227" s="231"/>
      <c r="J227" s="231"/>
      <c r="K227" s="231"/>
      <c r="L227" s="231"/>
      <c r="M227" s="231"/>
      <c r="N227" s="231"/>
      <c r="O227" s="231"/>
      <c r="P227" s="231"/>
      <c r="Q227" s="231"/>
      <c r="R227" s="231"/>
    </row>
    <row r="228" spans="1:18">
      <c r="A228" s="231"/>
      <c r="B228" s="231"/>
      <c r="C228" s="231"/>
      <c r="D228" s="231"/>
      <c r="E228" s="231"/>
      <c r="F228" s="231"/>
      <c r="G228" s="231"/>
      <c r="H228" s="231"/>
      <c r="I228" s="231"/>
      <c r="J228" s="231"/>
      <c r="K228" s="231"/>
      <c r="L228" s="231"/>
      <c r="M228" s="231"/>
      <c r="N228" s="231"/>
      <c r="O228" s="231"/>
      <c r="P228" s="231"/>
      <c r="Q228" s="231"/>
      <c r="R228" s="231"/>
    </row>
    <row r="229" spans="1:18">
      <c r="A229" s="231"/>
      <c r="B229" s="231"/>
      <c r="C229" s="231"/>
      <c r="D229" s="231"/>
      <c r="E229" s="231"/>
      <c r="F229" s="231"/>
      <c r="G229" s="231"/>
      <c r="H229" s="231"/>
      <c r="I229" s="231"/>
      <c r="J229" s="231"/>
      <c r="K229" s="231"/>
      <c r="L229" s="231"/>
      <c r="M229" s="231"/>
      <c r="N229" s="231"/>
      <c r="O229" s="231"/>
      <c r="P229" s="231"/>
      <c r="Q229" s="231"/>
      <c r="R229" s="231"/>
    </row>
    <row r="230" spans="1:18">
      <c r="A230" s="231"/>
      <c r="B230" s="231"/>
      <c r="C230" s="231"/>
      <c r="D230" s="231"/>
      <c r="E230" s="231"/>
      <c r="F230" s="231"/>
      <c r="G230" s="231"/>
      <c r="H230" s="231"/>
      <c r="I230" s="231"/>
      <c r="J230" s="231"/>
      <c r="K230" s="231"/>
      <c r="L230" s="231"/>
      <c r="M230" s="231"/>
      <c r="N230" s="231"/>
      <c r="O230" s="231"/>
      <c r="P230" s="231"/>
      <c r="Q230" s="231"/>
      <c r="R230" s="231"/>
    </row>
    <row r="231" spans="1:18">
      <c r="A231" s="231"/>
      <c r="B231" s="231"/>
      <c r="C231" s="231"/>
      <c r="D231" s="231"/>
      <c r="E231" s="231"/>
      <c r="F231" s="231"/>
      <c r="G231" s="231"/>
      <c r="H231" s="231"/>
      <c r="I231" s="231"/>
      <c r="J231" s="231"/>
      <c r="K231" s="231"/>
      <c r="L231" s="231"/>
      <c r="M231" s="231"/>
      <c r="N231" s="231"/>
      <c r="O231" s="231"/>
      <c r="P231" s="231"/>
      <c r="Q231" s="231"/>
      <c r="R231" s="231"/>
    </row>
    <row r="232" spans="1:18">
      <c r="A232" s="231"/>
      <c r="B232" s="231"/>
      <c r="C232" s="231"/>
      <c r="D232" s="231"/>
      <c r="E232" s="231"/>
      <c r="F232" s="231"/>
      <c r="G232" s="231"/>
      <c r="H232" s="231"/>
      <c r="I232" s="231"/>
      <c r="J232" s="231"/>
      <c r="K232" s="231"/>
      <c r="L232" s="231"/>
      <c r="M232" s="231"/>
      <c r="N232" s="231"/>
      <c r="O232" s="231"/>
      <c r="P232" s="231"/>
      <c r="Q232" s="231"/>
      <c r="R232" s="231"/>
    </row>
    <row r="233" spans="1:18">
      <c r="A233" s="231"/>
      <c r="B233" s="231"/>
      <c r="C233" s="231"/>
      <c r="D233" s="231"/>
      <c r="E233" s="231"/>
      <c r="F233" s="231"/>
      <c r="G233" s="231"/>
      <c r="H233" s="231"/>
      <c r="I233" s="231"/>
      <c r="J233" s="231"/>
      <c r="K233" s="231"/>
      <c r="L233" s="231"/>
      <c r="M233" s="231"/>
      <c r="N233" s="231"/>
      <c r="O233" s="231"/>
      <c r="P233" s="231"/>
      <c r="Q233" s="231"/>
      <c r="R233" s="231"/>
    </row>
    <row r="234" spans="1:18">
      <c r="A234" s="231"/>
      <c r="B234" s="231"/>
      <c r="C234" s="231"/>
      <c r="D234" s="231"/>
      <c r="E234" s="231"/>
      <c r="F234" s="231"/>
      <c r="G234" s="231"/>
      <c r="H234" s="231"/>
      <c r="I234" s="231"/>
      <c r="J234" s="231"/>
      <c r="K234" s="231"/>
      <c r="L234" s="231"/>
      <c r="M234" s="231"/>
      <c r="N234" s="231"/>
      <c r="O234" s="231"/>
      <c r="P234" s="231"/>
      <c r="Q234" s="231"/>
      <c r="R234" s="231"/>
    </row>
    <row r="235" spans="1:18">
      <c r="A235" s="231"/>
      <c r="B235" s="231"/>
      <c r="C235" s="231"/>
      <c r="D235" s="231"/>
      <c r="E235" s="231"/>
      <c r="F235" s="231"/>
      <c r="G235" s="231"/>
      <c r="H235" s="231"/>
      <c r="I235" s="231"/>
      <c r="J235" s="231"/>
      <c r="K235" s="231"/>
      <c r="L235" s="231"/>
      <c r="M235" s="231"/>
      <c r="N235" s="231"/>
      <c r="O235" s="231"/>
      <c r="P235" s="231"/>
      <c r="Q235" s="231"/>
      <c r="R235" s="231"/>
    </row>
    <row r="236" spans="1:18">
      <c r="A236" s="231"/>
      <c r="B236" s="231"/>
      <c r="C236" s="231"/>
      <c r="D236" s="231"/>
      <c r="E236" s="231"/>
      <c r="F236" s="231"/>
      <c r="G236" s="231"/>
      <c r="H236" s="231"/>
      <c r="I236" s="231"/>
      <c r="J236" s="231"/>
      <c r="K236" s="231"/>
      <c r="L236" s="231"/>
      <c r="M236" s="231"/>
      <c r="N236" s="231"/>
      <c r="O236" s="231"/>
      <c r="P236" s="231"/>
      <c r="Q236" s="231"/>
      <c r="R236" s="231"/>
    </row>
    <row r="237" spans="1:18">
      <c r="A237" s="231"/>
      <c r="B237" s="231"/>
      <c r="C237" s="231"/>
      <c r="D237" s="231"/>
      <c r="E237" s="231"/>
      <c r="F237" s="231"/>
      <c r="G237" s="231"/>
      <c r="H237" s="231"/>
      <c r="I237" s="231"/>
      <c r="J237" s="231"/>
      <c r="K237" s="231"/>
      <c r="L237" s="231"/>
      <c r="M237" s="231"/>
      <c r="N237" s="231"/>
      <c r="O237" s="231"/>
      <c r="P237" s="231"/>
      <c r="Q237" s="231"/>
      <c r="R237" s="231"/>
    </row>
    <row r="238" spans="1:18">
      <c r="A238" s="231"/>
      <c r="B238" s="231"/>
      <c r="C238" s="231"/>
      <c r="D238" s="231"/>
      <c r="E238" s="231"/>
      <c r="F238" s="231"/>
      <c r="G238" s="231"/>
      <c r="H238" s="231"/>
      <c r="I238" s="231"/>
      <c r="J238" s="231"/>
      <c r="K238" s="231"/>
      <c r="L238" s="231"/>
      <c r="M238" s="231"/>
      <c r="N238" s="231"/>
      <c r="O238" s="231"/>
      <c r="P238" s="231"/>
      <c r="Q238" s="231"/>
      <c r="R238" s="231"/>
    </row>
    <row r="239" spans="1:18">
      <c r="A239" s="231"/>
      <c r="B239" s="231"/>
      <c r="C239" s="231"/>
      <c r="D239" s="231"/>
      <c r="E239" s="231"/>
      <c r="F239" s="231"/>
      <c r="G239" s="231"/>
      <c r="H239" s="231"/>
      <c r="I239" s="231"/>
      <c r="J239" s="231"/>
      <c r="K239" s="231"/>
      <c r="L239" s="231"/>
      <c r="M239" s="231"/>
      <c r="N239" s="231"/>
      <c r="O239" s="231"/>
      <c r="P239" s="231"/>
      <c r="Q239" s="231"/>
      <c r="R239" s="231"/>
    </row>
    <row r="240" spans="1:18">
      <c r="A240" s="231"/>
      <c r="B240" s="231"/>
      <c r="C240" s="231"/>
      <c r="D240" s="231"/>
      <c r="E240" s="231"/>
      <c r="F240" s="231"/>
      <c r="G240" s="231"/>
      <c r="H240" s="231"/>
      <c r="I240" s="231"/>
      <c r="J240" s="231"/>
      <c r="K240" s="231"/>
      <c r="L240" s="231"/>
      <c r="M240" s="231"/>
      <c r="N240" s="231"/>
      <c r="O240" s="231"/>
      <c r="P240" s="231"/>
      <c r="Q240" s="231"/>
      <c r="R240" s="231"/>
    </row>
    <row r="241" spans="1:18">
      <c r="A241" s="231"/>
      <c r="B241" s="231"/>
      <c r="C241" s="231"/>
      <c r="D241" s="231"/>
      <c r="E241" s="231"/>
      <c r="F241" s="231"/>
      <c r="G241" s="231"/>
      <c r="H241" s="231"/>
      <c r="I241" s="231"/>
      <c r="J241" s="231"/>
      <c r="K241" s="231"/>
      <c r="L241" s="231"/>
      <c r="M241" s="231"/>
      <c r="N241" s="231"/>
      <c r="O241" s="231"/>
      <c r="P241" s="231"/>
      <c r="Q241" s="231"/>
      <c r="R241" s="231"/>
    </row>
    <row r="242" spans="1:18">
      <c r="A242" s="231"/>
      <c r="B242" s="231"/>
      <c r="C242" s="231"/>
      <c r="D242" s="231"/>
      <c r="E242" s="231"/>
      <c r="F242" s="231"/>
      <c r="G242" s="231"/>
      <c r="H242" s="231"/>
      <c r="I242" s="231"/>
      <c r="J242" s="231"/>
      <c r="K242" s="231"/>
      <c r="L242" s="231"/>
      <c r="M242" s="231"/>
      <c r="N242" s="231"/>
      <c r="O242" s="231"/>
      <c r="P242" s="231"/>
      <c r="Q242" s="231"/>
      <c r="R242" s="231"/>
    </row>
    <row r="243" spans="1:18">
      <c r="A243" s="231"/>
      <c r="B243" s="231"/>
      <c r="C243" s="231"/>
      <c r="D243" s="231"/>
      <c r="E243" s="231"/>
      <c r="F243" s="231"/>
      <c r="G243" s="231"/>
      <c r="H243" s="231"/>
      <c r="I243" s="231"/>
      <c r="J243" s="231"/>
      <c r="K243" s="231"/>
      <c r="L243" s="231"/>
      <c r="M243" s="231"/>
      <c r="N243" s="231"/>
      <c r="O243" s="231"/>
      <c r="P243" s="231"/>
      <c r="Q243" s="231"/>
      <c r="R243" s="231"/>
    </row>
    <row r="244" spans="1:18">
      <c r="A244" s="231"/>
      <c r="B244" s="231"/>
      <c r="C244" s="231"/>
      <c r="D244" s="231"/>
      <c r="E244" s="231"/>
      <c r="F244" s="231"/>
      <c r="G244" s="231"/>
      <c r="H244" s="231"/>
      <c r="I244" s="231"/>
      <c r="J244" s="231"/>
      <c r="K244" s="231"/>
      <c r="L244" s="231"/>
      <c r="M244" s="231"/>
      <c r="N244" s="231"/>
      <c r="O244" s="231"/>
      <c r="P244" s="231"/>
      <c r="Q244" s="231"/>
      <c r="R244" s="231"/>
    </row>
    <row r="245" spans="1:18">
      <c r="A245" s="231"/>
      <c r="B245" s="231"/>
      <c r="C245" s="231"/>
      <c r="D245" s="231"/>
      <c r="E245" s="231"/>
      <c r="F245" s="231"/>
      <c r="G245" s="231"/>
      <c r="H245" s="231"/>
      <c r="I245" s="231"/>
      <c r="J245" s="231"/>
      <c r="K245" s="231"/>
      <c r="L245" s="231"/>
      <c r="M245" s="231"/>
      <c r="N245" s="231"/>
      <c r="O245" s="231"/>
      <c r="P245" s="231"/>
      <c r="Q245" s="231"/>
      <c r="R245" s="231"/>
    </row>
    <row r="246" spans="1:18">
      <c r="A246" s="231"/>
      <c r="B246" s="231"/>
      <c r="C246" s="231"/>
      <c r="D246" s="231"/>
      <c r="E246" s="231"/>
      <c r="F246" s="231"/>
      <c r="G246" s="231"/>
      <c r="H246" s="231"/>
      <c r="I246" s="231"/>
      <c r="J246" s="231"/>
      <c r="K246" s="231"/>
      <c r="L246" s="231"/>
      <c r="M246" s="231"/>
      <c r="N246" s="231"/>
      <c r="O246" s="231"/>
      <c r="P246" s="231"/>
      <c r="Q246" s="231"/>
      <c r="R246" s="231"/>
    </row>
    <row r="247" spans="1:18">
      <c r="A247" s="231"/>
      <c r="B247" s="231"/>
      <c r="C247" s="231"/>
      <c r="D247" s="231"/>
      <c r="E247" s="231"/>
      <c r="F247" s="231"/>
      <c r="G247" s="231"/>
      <c r="H247" s="231"/>
      <c r="I247" s="231"/>
      <c r="J247" s="231"/>
      <c r="K247" s="231"/>
      <c r="L247" s="231"/>
      <c r="M247" s="231"/>
      <c r="N247" s="231"/>
      <c r="O247" s="231"/>
      <c r="P247" s="231"/>
      <c r="Q247" s="231"/>
      <c r="R247" s="231"/>
    </row>
    <row r="248" spans="1:18">
      <c r="A248" s="231"/>
      <c r="B248" s="231"/>
      <c r="C248" s="231"/>
      <c r="D248" s="231"/>
      <c r="E248" s="231"/>
      <c r="F248" s="231"/>
      <c r="G248" s="231"/>
      <c r="H248" s="231"/>
      <c r="I248" s="231"/>
      <c r="J248" s="231"/>
      <c r="K248" s="231"/>
      <c r="L248" s="231"/>
      <c r="M248" s="231"/>
      <c r="N248" s="231"/>
      <c r="O248" s="231"/>
      <c r="P248" s="231"/>
      <c r="Q248" s="231"/>
      <c r="R248" s="231"/>
    </row>
    <row r="249" spans="1:18">
      <c r="A249" s="231"/>
      <c r="B249" s="231"/>
      <c r="C249" s="231"/>
      <c r="D249" s="231"/>
      <c r="E249" s="231"/>
      <c r="F249" s="231"/>
      <c r="G249" s="231"/>
      <c r="H249" s="231"/>
      <c r="I249" s="231"/>
      <c r="J249" s="231"/>
      <c r="K249" s="231"/>
      <c r="L249" s="231"/>
      <c r="M249" s="231"/>
      <c r="N249" s="231"/>
      <c r="O249" s="231"/>
      <c r="P249" s="231"/>
      <c r="Q249" s="231"/>
      <c r="R249" s="231"/>
    </row>
    <row r="250" spans="1:18">
      <c r="A250" s="231"/>
      <c r="B250" s="231"/>
      <c r="C250" s="231"/>
      <c r="D250" s="231"/>
      <c r="E250" s="231"/>
      <c r="F250" s="231"/>
      <c r="G250" s="231"/>
      <c r="H250" s="231"/>
      <c r="I250" s="231"/>
      <c r="J250" s="231"/>
      <c r="K250" s="231"/>
      <c r="L250" s="231"/>
      <c r="M250" s="231"/>
      <c r="N250" s="231"/>
      <c r="O250" s="231"/>
      <c r="P250" s="231"/>
      <c r="Q250" s="231"/>
      <c r="R250" s="231"/>
    </row>
    <row r="251" spans="1:18">
      <c r="A251" s="231"/>
      <c r="B251" s="231"/>
      <c r="C251" s="231"/>
      <c r="D251" s="231"/>
      <c r="E251" s="231"/>
      <c r="F251" s="231"/>
      <c r="G251" s="231"/>
      <c r="H251" s="231"/>
      <c r="I251" s="231"/>
      <c r="J251" s="231"/>
      <c r="K251" s="231"/>
      <c r="L251" s="231"/>
      <c r="M251" s="231"/>
      <c r="N251" s="231"/>
      <c r="O251" s="231"/>
      <c r="P251" s="231"/>
      <c r="Q251" s="231"/>
      <c r="R251" s="231"/>
    </row>
    <row r="252" spans="1:18">
      <c r="A252" s="231"/>
      <c r="B252" s="231"/>
      <c r="C252" s="231"/>
      <c r="D252" s="231"/>
      <c r="E252" s="231"/>
      <c r="F252" s="231"/>
      <c r="G252" s="231"/>
      <c r="H252" s="231"/>
      <c r="I252" s="231"/>
      <c r="J252" s="231"/>
      <c r="K252" s="231"/>
      <c r="L252" s="231"/>
      <c r="M252" s="231"/>
      <c r="N252" s="231"/>
      <c r="O252" s="231"/>
      <c r="P252" s="231"/>
      <c r="Q252" s="231"/>
      <c r="R252" s="231"/>
    </row>
    <row r="253" spans="1:18">
      <c r="A253" s="231"/>
      <c r="B253" s="231"/>
      <c r="C253" s="231"/>
      <c r="D253" s="231"/>
      <c r="E253" s="231"/>
      <c r="F253" s="231"/>
      <c r="G253" s="231"/>
      <c r="H253" s="231"/>
      <c r="I253" s="231"/>
      <c r="J253" s="231"/>
      <c r="K253" s="231"/>
      <c r="L253" s="231"/>
      <c r="M253" s="231"/>
      <c r="N253" s="231"/>
      <c r="O253" s="231"/>
      <c r="P253" s="231"/>
      <c r="Q253" s="231"/>
      <c r="R253" s="231"/>
    </row>
    <row r="254" spans="1:18">
      <c r="A254" s="231"/>
      <c r="B254" s="231"/>
      <c r="C254" s="231"/>
      <c r="D254" s="231"/>
      <c r="E254" s="231"/>
      <c r="F254" s="231"/>
      <c r="G254" s="231"/>
      <c r="H254" s="231"/>
      <c r="I254" s="231"/>
      <c r="J254" s="231"/>
      <c r="K254" s="231"/>
      <c r="L254" s="231"/>
      <c r="M254" s="231"/>
      <c r="N254" s="231"/>
      <c r="O254" s="231"/>
      <c r="P254" s="231"/>
      <c r="Q254" s="231"/>
      <c r="R254" s="231"/>
    </row>
    <row r="255" spans="1:18">
      <c r="A255" s="231"/>
      <c r="B255" s="231"/>
      <c r="C255" s="231"/>
      <c r="D255" s="231"/>
      <c r="E255" s="231"/>
      <c r="F255" s="231"/>
      <c r="G255" s="231"/>
      <c r="H255" s="231"/>
      <c r="I255" s="231"/>
      <c r="J255" s="231"/>
      <c r="K255" s="231"/>
      <c r="L255" s="231"/>
      <c r="M255" s="231"/>
      <c r="N255" s="231"/>
      <c r="O255" s="231"/>
      <c r="P255" s="231"/>
      <c r="Q255" s="231"/>
      <c r="R255" s="231"/>
    </row>
    <row r="256" spans="1:18">
      <c r="A256" s="231"/>
      <c r="B256" s="231"/>
      <c r="C256" s="231"/>
      <c r="D256" s="231"/>
      <c r="E256" s="231"/>
      <c r="F256" s="231"/>
      <c r="G256" s="231"/>
      <c r="H256" s="231"/>
      <c r="I256" s="231"/>
      <c r="J256" s="231"/>
      <c r="K256" s="231"/>
      <c r="L256" s="231"/>
      <c r="M256" s="231"/>
      <c r="N256" s="231"/>
      <c r="O256" s="231"/>
      <c r="P256" s="231"/>
      <c r="Q256" s="231"/>
      <c r="R256" s="231"/>
    </row>
    <row r="257" spans="1:18">
      <c r="A257" s="231"/>
      <c r="B257" s="231"/>
      <c r="C257" s="231"/>
      <c r="D257" s="231"/>
      <c r="E257" s="231"/>
      <c r="F257" s="231"/>
      <c r="G257" s="231"/>
      <c r="H257" s="231"/>
      <c r="I257" s="231"/>
      <c r="J257" s="231"/>
      <c r="K257" s="231"/>
      <c r="L257" s="231"/>
      <c r="M257" s="231"/>
      <c r="N257" s="231"/>
      <c r="O257" s="231"/>
      <c r="P257" s="231"/>
      <c r="Q257" s="231"/>
      <c r="R257" s="231"/>
    </row>
    <row r="258" spans="1:18">
      <c r="A258" s="231"/>
      <c r="B258" s="231"/>
      <c r="C258" s="231"/>
      <c r="D258" s="231"/>
      <c r="E258" s="231"/>
      <c r="F258" s="231"/>
      <c r="G258" s="231"/>
      <c r="H258" s="231"/>
      <c r="I258" s="231"/>
      <c r="J258" s="231"/>
      <c r="K258" s="231"/>
      <c r="L258" s="231"/>
      <c r="M258" s="231"/>
      <c r="N258" s="231"/>
      <c r="O258" s="231"/>
      <c r="P258" s="231"/>
      <c r="Q258" s="231"/>
      <c r="R258" s="231"/>
    </row>
    <row r="259" spans="1:18">
      <c r="A259" s="231"/>
      <c r="B259" s="231"/>
      <c r="C259" s="231"/>
      <c r="D259" s="231"/>
      <c r="E259" s="231"/>
      <c r="F259" s="231"/>
      <c r="G259" s="231"/>
      <c r="H259" s="231"/>
      <c r="I259" s="231"/>
      <c r="J259" s="231"/>
      <c r="K259" s="231"/>
      <c r="L259" s="231"/>
      <c r="M259" s="231"/>
      <c r="N259" s="231"/>
      <c r="O259" s="231"/>
      <c r="P259" s="231"/>
      <c r="Q259" s="231"/>
      <c r="R259" s="231"/>
    </row>
    <row r="260" spans="1:18">
      <c r="A260" s="231"/>
      <c r="B260" s="231"/>
      <c r="C260" s="231"/>
      <c r="D260" s="231"/>
      <c r="E260" s="231"/>
      <c r="F260" s="231"/>
      <c r="G260" s="231"/>
      <c r="H260" s="231"/>
      <c r="I260" s="231"/>
      <c r="J260" s="231"/>
      <c r="K260" s="231"/>
      <c r="L260" s="231"/>
      <c r="M260" s="231"/>
      <c r="N260" s="231"/>
      <c r="O260" s="231"/>
      <c r="P260" s="231"/>
      <c r="Q260" s="231"/>
      <c r="R260" s="231"/>
    </row>
    <row r="261" spans="1:18">
      <c r="A261" s="231"/>
      <c r="B261" s="231"/>
      <c r="C261" s="231"/>
      <c r="D261" s="231"/>
      <c r="E261" s="231"/>
      <c r="F261" s="231"/>
      <c r="G261" s="231"/>
      <c r="H261" s="231"/>
      <c r="I261" s="231"/>
      <c r="J261" s="231"/>
      <c r="K261" s="231"/>
      <c r="L261" s="231"/>
      <c r="M261" s="231"/>
      <c r="N261" s="231"/>
      <c r="O261" s="231"/>
      <c r="P261" s="231"/>
      <c r="Q261" s="231"/>
      <c r="R261" s="231"/>
    </row>
    <row r="262" spans="1:18">
      <c r="A262" s="231"/>
      <c r="B262" s="231"/>
      <c r="C262" s="231"/>
      <c r="D262" s="231"/>
      <c r="E262" s="231"/>
      <c r="F262" s="231"/>
      <c r="G262" s="231"/>
      <c r="H262" s="231"/>
      <c r="I262" s="231"/>
      <c r="J262" s="231"/>
      <c r="K262" s="231"/>
      <c r="L262" s="231"/>
      <c r="M262" s="231"/>
      <c r="N262" s="231"/>
      <c r="O262" s="231"/>
      <c r="P262" s="231"/>
      <c r="Q262" s="231"/>
      <c r="R262" s="231"/>
    </row>
    <row r="263" spans="1:18">
      <c r="A263" s="231"/>
      <c r="B263" s="231"/>
      <c r="C263" s="231"/>
      <c r="D263" s="231"/>
      <c r="E263" s="231"/>
      <c r="F263" s="231"/>
      <c r="G263" s="231"/>
      <c r="H263" s="231"/>
      <c r="I263" s="231"/>
      <c r="J263" s="231"/>
      <c r="K263" s="231"/>
      <c r="L263" s="231"/>
      <c r="M263" s="231"/>
      <c r="N263" s="231"/>
      <c r="O263" s="231"/>
      <c r="P263" s="231"/>
      <c r="Q263" s="231"/>
      <c r="R263" s="231"/>
    </row>
    <row r="264" spans="1:18">
      <c r="A264" s="231"/>
      <c r="B264" s="231"/>
      <c r="C264" s="231"/>
      <c r="D264" s="231"/>
      <c r="E264" s="231"/>
      <c r="F264" s="231"/>
      <c r="G264" s="231"/>
      <c r="H264" s="231"/>
      <c r="I264" s="231"/>
      <c r="J264" s="231"/>
      <c r="K264" s="231"/>
      <c r="L264" s="231"/>
      <c r="M264" s="231"/>
      <c r="N264" s="231"/>
      <c r="O264" s="231"/>
      <c r="P264" s="231"/>
      <c r="Q264" s="231"/>
      <c r="R264" s="231"/>
    </row>
    <row r="265" spans="1:18">
      <c r="A265" s="231"/>
      <c r="B265" s="231"/>
      <c r="C265" s="231"/>
      <c r="D265" s="231"/>
      <c r="E265" s="231"/>
      <c r="F265" s="231"/>
      <c r="G265" s="231"/>
      <c r="H265" s="231"/>
      <c r="I265" s="231"/>
      <c r="J265" s="231"/>
      <c r="K265" s="231"/>
      <c r="L265" s="231"/>
      <c r="M265" s="231"/>
      <c r="N265" s="231"/>
      <c r="O265" s="231"/>
      <c r="P265" s="231"/>
      <c r="Q265" s="231"/>
      <c r="R265" s="231"/>
    </row>
    <row r="266" spans="1:18">
      <c r="A266" s="231"/>
      <c r="B266" s="231"/>
      <c r="C266" s="231"/>
      <c r="D266" s="231"/>
      <c r="E266" s="231"/>
      <c r="F266" s="231"/>
      <c r="G266" s="231"/>
      <c r="H266" s="231"/>
      <c r="I266" s="231"/>
      <c r="J266" s="231"/>
      <c r="K266" s="231"/>
      <c r="L266" s="231"/>
      <c r="M266" s="231"/>
      <c r="N266" s="231"/>
      <c r="O266" s="231"/>
      <c r="P266" s="231"/>
      <c r="Q266" s="231"/>
      <c r="R266" s="231"/>
    </row>
    <row r="267" spans="1:18">
      <c r="A267" s="231"/>
      <c r="B267" s="231"/>
      <c r="C267" s="231"/>
      <c r="D267" s="231"/>
      <c r="E267" s="231"/>
      <c r="F267" s="231"/>
      <c r="G267" s="231"/>
      <c r="H267" s="231"/>
      <c r="I267" s="231"/>
      <c r="J267" s="231"/>
      <c r="K267" s="231"/>
      <c r="L267" s="231"/>
      <c r="M267" s="231"/>
      <c r="N267" s="231"/>
      <c r="O267" s="231"/>
      <c r="P267" s="231"/>
      <c r="Q267" s="231"/>
      <c r="R267" s="231"/>
    </row>
    <row r="268" spans="1:18">
      <c r="A268" s="231"/>
      <c r="B268" s="231"/>
      <c r="C268" s="231"/>
      <c r="D268" s="231"/>
      <c r="E268" s="231"/>
      <c r="F268" s="231"/>
      <c r="G268" s="231"/>
      <c r="H268" s="231"/>
      <c r="I268" s="231"/>
      <c r="J268" s="231"/>
      <c r="K268" s="231"/>
      <c r="L268" s="231"/>
      <c r="M268" s="231"/>
      <c r="N268" s="231"/>
      <c r="O268" s="231"/>
      <c r="P268" s="231"/>
      <c r="Q268" s="231"/>
      <c r="R268" s="231"/>
    </row>
    <row r="269" spans="1:18">
      <c r="A269" s="231"/>
      <c r="B269" s="231"/>
      <c r="C269" s="231"/>
      <c r="D269" s="231"/>
      <c r="E269" s="231"/>
      <c r="F269" s="231"/>
      <c r="G269" s="231"/>
      <c r="H269" s="231"/>
      <c r="I269" s="231"/>
      <c r="J269" s="231"/>
      <c r="K269" s="231"/>
      <c r="L269" s="231"/>
      <c r="M269" s="231"/>
      <c r="N269" s="231"/>
      <c r="O269" s="231"/>
      <c r="P269" s="231"/>
      <c r="Q269" s="231"/>
      <c r="R269" s="231"/>
    </row>
    <row r="270" spans="1:18">
      <c r="A270" s="231"/>
      <c r="B270" s="231"/>
      <c r="C270" s="231"/>
      <c r="D270" s="231"/>
      <c r="E270" s="231"/>
      <c r="F270" s="231"/>
      <c r="G270" s="231"/>
      <c r="H270" s="231"/>
      <c r="I270" s="231"/>
      <c r="J270" s="231"/>
      <c r="K270" s="231"/>
      <c r="L270" s="231"/>
      <c r="M270" s="231"/>
      <c r="N270" s="231"/>
      <c r="O270" s="231"/>
      <c r="P270" s="231"/>
      <c r="Q270" s="231"/>
      <c r="R270" s="231"/>
    </row>
    <row r="271" spans="1:18">
      <c r="A271" s="231"/>
      <c r="B271" s="231"/>
      <c r="C271" s="231"/>
      <c r="D271" s="231"/>
      <c r="E271" s="231"/>
      <c r="F271" s="231"/>
      <c r="G271" s="231"/>
      <c r="H271" s="231"/>
      <c r="I271" s="231"/>
      <c r="J271" s="231"/>
      <c r="K271" s="231"/>
      <c r="L271" s="231"/>
      <c r="M271" s="231"/>
      <c r="N271" s="231"/>
      <c r="O271" s="231"/>
      <c r="P271" s="231"/>
      <c r="Q271" s="231"/>
      <c r="R271" s="231"/>
    </row>
    <row r="272" spans="1:18">
      <c r="A272" s="231"/>
      <c r="B272" s="231"/>
      <c r="C272" s="231"/>
      <c r="D272" s="231"/>
      <c r="E272" s="231"/>
      <c r="F272" s="231"/>
      <c r="G272" s="231"/>
      <c r="H272" s="231"/>
      <c r="I272" s="231"/>
      <c r="J272" s="231"/>
      <c r="K272" s="231"/>
      <c r="L272" s="231"/>
      <c r="M272" s="231"/>
      <c r="N272" s="231"/>
      <c r="O272" s="231"/>
      <c r="P272" s="231"/>
      <c r="Q272" s="231"/>
      <c r="R272" s="231"/>
    </row>
    <row r="273" spans="1:18">
      <c r="A273" s="231"/>
      <c r="B273" s="231"/>
      <c r="C273" s="231"/>
      <c r="D273" s="231"/>
      <c r="E273" s="231"/>
      <c r="F273" s="231"/>
      <c r="G273" s="231"/>
      <c r="H273" s="231"/>
      <c r="I273" s="231"/>
      <c r="J273" s="231"/>
      <c r="K273" s="231"/>
      <c r="L273" s="231"/>
      <c r="M273" s="231"/>
      <c r="N273" s="231"/>
      <c r="O273" s="231"/>
      <c r="P273" s="231"/>
      <c r="Q273" s="231"/>
      <c r="R273" s="231"/>
    </row>
    <row r="274" spans="1:18">
      <c r="A274" s="231"/>
      <c r="B274" s="231"/>
      <c r="C274" s="231"/>
      <c r="D274" s="231"/>
      <c r="E274" s="231"/>
      <c r="F274" s="231"/>
      <c r="G274" s="231"/>
      <c r="H274" s="231"/>
      <c r="I274" s="231"/>
      <c r="J274" s="231"/>
      <c r="K274" s="231"/>
      <c r="L274" s="231"/>
      <c r="M274" s="231"/>
      <c r="N274" s="231"/>
      <c r="O274" s="231"/>
      <c r="P274" s="231"/>
      <c r="Q274" s="231"/>
      <c r="R274" s="231"/>
    </row>
    <row r="275" spans="1:18">
      <c r="A275" s="231"/>
      <c r="B275" s="231"/>
      <c r="C275" s="231"/>
      <c r="D275" s="231"/>
      <c r="E275" s="231"/>
      <c r="F275" s="231"/>
      <c r="G275" s="231"/>
      <c r="H275" s="231"/>
      <c r="I275" s="231"/>
      <c r="J275" s="231"/>
      <c r="K275" s="231"/>
      <c r="L275" s="231"/>
      <c r="M275" s="231"/>
      <c r="N275" s="231"/>
      <c r="O275" s="231"/>
      <c r="P275" s="231"/>
      <c r="Q275" s="231"/>
      <c r="R275" s="231"/>
    </row>
    <row r="276" spans="1:18">
      <c r="A276" s="231"/>
      <c r="B276" s="231"/>
      <c r="C276" s="231"/>
      <c r="D276" s="231"/>
      <c r="E276" s="231"/>
      <c r="F276" s="231"/>
      <c r="G276" s="231"/>
      <c r="H276" s="231"/>
      <c r="I276" s="231"/>
      <c r="J276" s="231"/>
      <c r="K276" s="231"/>
      <c r="L276" s="231"/>
      <c r="M276" s="231"/>
      <c r="N276" s="231"/>
      <c r="O276" s="231"/>
      <c r="P276" s="231"/>
      <c r="Q276" s="231"/>
      <c r="R276" s="231"/>
    </row>
    <row r="277" spans="1:18">
      <c r="A277" s="231"/>
      <c r="B277" s="231"/>
      <c r="C277" s="231"/>
      <c r="D277" s="231"/>
      <c r="E277" s="231"/>
      <c r="F277" s="231"/>
      <c r="G277" s="231"/>
      <c r="H277" s="231"/>
      <c r="I277" s="231"/>
      <c r="J277" s="231"/>
      <c r="K277" s="231"/>
      <c r="L277" s="231"/>
      <c r="M277" s="231"/>
      <c r="N277" s="231"/>
      <c r="O277" s="231"/>
      <c r="P277" s="231"/>
      <c r="Q277" s="231"/>
      <c r="R277" s="231"/>
    </row>
    <row r="278" spans="1:18">
      <c r="A278" s="231"/>
      <c r="B278" s="231"/>
      <c r="C278" s="231"/>
      <c r="D278" s="231"/>
      <c r="E278" s="231"/>
      <c r="F278" s="231"/>
      <c r="G278" s="231"/>
      <c r="H278" s="231"/>
      <c r="I278" s="231"/>
      <c r="J278" s="231"/>
      <c r="K278" s="231"/>
      <c r="L278" s="231"/>
      <c r="M278" s="231"/>
      <c r="N278" s="231"/>
      <c r="O278" s="231"/>
      <c r="P278" s="231"/>
      <c r="Q278" s="231"/>
      <c r="R278" s="231"/>
    </row>
    <row r="279" spans="1:18">
      <c r="A279" s="231"/>
      <c r="B279" s="231"/>
      <c r="C279" s="231"/>
      <c r="D279" s="231"/>
      <c r="E279" s="231"/>
      <c r="F279" s="231"/>
      <c r="G279" s="231"/>
      <c r="H279" s="231"/>
      <c r="I279" s="231"/>
      <c r="J279" s="231"/>
      <c r="K279" s="231"/>
      <c r="L279" s="231"/>
      <c r="M279" s="231"/>
      <c r="N279" s="231"/>
      <c r="O279" s="231"/>
      <c r="P279" s="231"/>
      <c r="Q279" s="231"/>
      <c r="R279" s="231"/>
    </row>
    <row r="280" spans="1:18">
      <c r="A280" s="231"/>
      <c r="B280" s="231"/>
      <c r="C280" s="231"/>
      <c r="D280" s="231"/>
      <c r="E280" s="231"/>
      <c r="F280" s="231"/>
      <c r="G280" s="231"/>
      <c r="H280" s="231"/>
      <c r="I280" s="231"/>
      <c r="J280" s="231"/>
      <c r="K280" s="231"/>
      <c r="L280" s="231"/>
      <c r="M280" s="231"/>
      <c r="N280" s="231"/>
      <c r="O280" s="231"/>
      <c r="P280" s="231"/>
      <c r="Q280" s="231"/>
      <c r="R280" s="231"/>
    </row>
    <row r="281" spans="1:18">
      <c r="A281" s="231"/>
      <c r="B281" s="231"/>
      <c r="C281" s="231"/>
      <c r="D281" s="231"/>
      <c r="E281" s="231"/>
      <c r="F281" s="231"/>
      <c r="G281" s="231"/>
      <c r="H281" s="231"/>
      <c r="I281" s="231"/>
      <c r="J281" s="231"/>
      <c r="K281" s="231"/>
      <c r="L281" s="231"/>
      <c r="M281" s="231"/>
      <c r="N281" s="231"/>
      <c r="O281" s="231"/>
      <c r="P281" s="231"/>
      <c r="Q281" s="231"/>
      <c r="R281" s="231"/>
    </row>
    <row r="282" spans="1:18">
      <c r="A282" s="231"/>
      <c r="B282" s="231"/>
      <c r="C282" s="231"/>
      <c r="D282" s="231"/>
      <c r="E282" s="231"/>
      <c r="F282" s="231"/>
      <c r="G282" s="231"/>
      <c r="H282" s="231"/>
      <c r="I282" s="231"/>
      <c r="J282" s="231"/>
      <c r="K282" s="231"/>
      <c r="L282" s="231"/>
      <c r="M282" s="231"/>
      <c r="N282" s="231"/>
      <c r="O282" s="231"/>
      <c r="P282" s="231"/>
      <c r="Q282" s="231"/>
      <c r="R282" s="231"/>
    </row>
    <row r="283" spans="1:18">
      <c r="A283" s="231"/>
      <c r="B283" s="231"/>
      <c r="C283" s="231"/>
      <c r="D283" s="231"/>
      <c r="E283" s="231"/>
      <c r="F283" s="231"/>
      <c r="G283" s="231"/>
      <c r="H283" s="231"/>
      <c r="I283" s="231"/>
      <c r="J283" s="231"/>
      <c r="K283" s="231"/>
      <c r="L283" s="231"/>
      <c r="M283" s="231"/>
      <c r="N283" s="231"/>
      <c r="O283" s="231"/>
      <c r="P283" s="231"/>
      <c r="Q283" s="231"/>
      <c r="R283" s="231"/>
    </row>
    <row r="284" spans="1:18">
      <c r="A284" s="231"/>
      <c r="B284" s="231"/>
      <c r="C284" s="231"/>
      <c r="D284" s="231"/>
      <c r="E284" s="231"/>
      <c r="F284" s="231"/>
      <c r="G284" s="231"/>
      <c r="H284" s="231"/>
      <c r="I284" s="231"/>
      <c r="J284" s="231"/>
      <c r="K284" s="231"/>
      <c r="L284" s="231"/>
      <c r="M284" s="231"/>
      <c r="N284" s="231"/>
      <c r="O284" s="231"/>
      <c r="P284" s="231"/>
      <c r="Q284" s="231"/>
      <c r="R284" s="231"/>
    </row>
    <row r="285" spans="1:18">
      <c r="A285" s="231"/>
      <c r="B285" s="231"/>
      <c r="C285" s="231"/>
      <c r="D285" s="231"/>
      <c r="E285" s="231"/>
      <c r="F285" s="231"/>
      <c r="G285" s="231"/>
      <c r="H285" s="231"/>
      <c r="I285" s="231"/>
      <c r="J285" s="231"/>
      <c r="K285" s="231"/>
      <c r="L285" s="231"/>
      <c r="M285" s="231"/>
      <c r="N285" s="231"/>
      <c r="O285" s="231"/>
      <c r="P285" s="231"/>
      <c r="Q285" s="231"/>
      <c r="R285" s="231"/>
    </row>
    <row r="286" spans="1:18">
      <c r="A286" s="231"/>
      <c r="B286" s="231"/>
      <c r="C286" s="231"/>
      <c r="D286" s="231"/>
      <c r="E286" s="231"/>
      <c r="F286" s="231"/>
      <c r="G286" s="231"/>
      <c r="H286" s="231"/>
      <c r="I286" s="231"/>
      <c r="J286" s="231"/>
      <c r="K286" s="231"/>
      <c r="L286" s="231"/>
      <c r="M286" s="231"/>
      <c r="N286" s="231"/>
      <c r="O286" s="231"/>
      <c r="P286" s="231"/>
      <c r="Q286" s="231"/>
      <c r="R286" s="231"/>
    </row>
    <row r="287" spans="1:18">
      <c r="A287" s="231"/>
      <c r="B287" s="231"/>
      <c r="C287" s="231"/>
      <c r="D287" s="231"/>
      <c r="E287" s="231"/>
      <c r="F287" s="231"/>
      <c r="G287" s="231"/>
      <c r="H287" s="231"/>
      <c r="I287" s="231"/>
      <c r="J287" s="231"/>
      <c r="K287" s="231"/>
      <c r="L287" s="231"/>
      <c r="M287" s="231"/>
      <c r="N287" s="231"/>
      <c r="O287" s="231"/>
      <c r="P287" s="231"/>
      <c r="Q287" s="231"/>
      <c r="R287" s="231"/>
    </row>
    <row r="288" spans="1:18">
      <c r="A288" s="231"/>
      <c r="B288" s="231"/>
      <c r="C288" s="231"/>
      <c r="D288" s="231"/>
      <c r="E288" s="231"/>
      <c r="F288" s="231"/>
      <c r="G288" s="231"/>
      <c r="H288" s="231"/>
      <c r="I288" s="231"/>
      <c r="J288" s="231"/>
      <c r="K288" s="231"/>
      <c r="L288" s="231"/>
      <c r="M288" s="231"/>
      <c r="N288" s="231"/>
      <c r="O288" s="231"/>
      <c r="P288" s="231"/>
      <c r="Q288" s="231"/>
      <c r="R288" s="231"/>
    </row>
    <row r="289" spans="1:18">
      <c r="A289" s="231"/>
      <c r="B289" s="231"/>
      <c r="C289" s="231"/>
      <c r="D289" s="231"/>
      <c r="E289" s="231"/>
      <c r="F289" s="231"/>
      <c r="G289" s="231"/>
      <c r="H289" s="231"/>
      <c r="I289" s="231"/>
      <c r="J289" s="231"/>
      <c r="K289" s="231"/>
      <c r="L289" s="231"/>
      <c r="M289" s="231"/>
      <c r="N289" s="231"/>
      <c r="O289" s="231"/>
      <c r="P289" s="231"/>
      <c r="Q289" s="231"/>
      <c r="R289" s="231"/>
    </row>
    <row r="290" spans="1:18">
      <c r="A290" s="231"/>
      <c r="B290" s="231"/>
      <c r="C290" s="231"/>
      <c r="D290" s="231"/>
      <c r="E290" s="231"/>
      <c r="F290" s="231"/>
      <c r="G290" s="231"/>
      <c r="H290" s="231"/>
      <c r="I290" s="231"/>
      <c r="J290" s="231"/>
      <c r="K290" s="231"/>
      <c r="L290" s="231"/>
      <c r="M290" s="231"/>
      <c r="N290" s="231"/>
      <c r="O290" s="231"/>
      <c r="P290" s="231"/>
      <c r="Q290" s="231"/>
      <c r="R290" s="231"/>
    </row>
    <row r="291" spans="1:18">
      <c r="A291" s="231"/>
      <c r="B291" s="231"/>
      <c r="C291" s="231"/>
      <c r="D291" s="231"/>
      <c r="E291" s="231"/>
      <c r="F291" s="231"/>
      <c r="G291" s="231"/>
      <c r="H291" s="231"/>
      <c r="I291" s="231"/>
      <c r="J291" s="231"/>
      <c r="K291" s="231"/>
      <c r="L291" s="231"/>
      <c r="M291" s="231"/>
      <c r="N291" s="231"/>
      <c r="O291" s="231"/>
      <c r="P291" s="231"/>
      <c r="Q291" s="231"/>
      <c r="R291" s="231"/>
    </row>
    <row r="292" spans="1:18">
      <c r="A292" s="231"/>
      <c r="B292" s="231"/>
      <c r="C292" s="231"/>
      <c r="D292" s="231"/>
      <c r="E292" s="231"/>
      <c r="F292" s="231"/>
      <c r="G292" s="231"/>
      <c r="H292" s="231"/>
      <c r="I292" s="231"/>
      <c r="J292" s="231"/>
      <c r="K292" s="231"/>
      <c r="L292" s="231"/>
      <c r="M292" s="231"/>
      <c r="N292" s="231"/>
      <c r="O292" s="231"/>
      <c r="P292" s="231"/>
      <c r="Q292" s="231"/>
      <c r="R292" s="231"/>
    </row>
    <row r="293" spans="1:18">
      <c r="A293" s="231"/>
      <c r="B293" s="231"/>
      <c r="C293" s="231"/>
      <c r="D293" s="231"/>
      <c r="E293" s="231"/>
      <c r="F293" s="231"/>
      <c r="G293" s="231"/>
      <c r="H293" s="231"/>
      <c r="I293" s="231"/>
      <c r="J293" s="231"/>
      <c r="K293" s="231"/>
      <c r="L293" s="231"/>
      <c r="M293" s="231"/>
      <c r="N293" s="231"/>
      <c r="O293" s="231"/>
      <c r="P293" s="231"/>
      <c r="Q293" s="231"/>
      <c r="R293" s="231"/>
    </row>
    <row r="294" spans="1:18">
      <c r="A294" s="231"/>
      <c r="B294" s="231"/>
      <c r="C294" s="231"/>
      <c r="D294" s="231"/>
      <c r="E294" s="231"/>
      <c r="F294" s="231"/>
      <c r="G294" s="231"/>
      <c r="H294" s="231"/>
      <c r="I294" s="231"/>
      <c r="J294" s="231"/>
      <c r="K294" s="231"/>
      <c r="L294" s="231"/>
      <c r="M294" s="231"/>
      <c r="N294" s="231"/>
      <c r="O294" s="231"/>
      <c r="P294" s="231"/>
      <c r="Q294" s="231"/>
      <c r="R294" s="231"/>
    </row>
    <row r="295" spans="1:18">
      <c r="A295" s="231"/>
      <c r="B295" s="231"/>
      <c r="C295" s="231"/>
      <c r="D295" s="231"/>
      <c r="E295" s="231"/>
      <c r="F295" s="231"/>
      <c r="G295" s="231"/>
      <c r="H295" s="231"/>
      <c r="I295" s="231"/>
      <c r="J295" s="231"/>
      <c r="K295" s="231"/>
      <c r="L295" s="231"/>
      <c r="M295" s="231"/>
      <c r="N295" s="231"/>
      <c r="O295" s="231"/>
      <c r="P295" s="231"/>
      <c r="Q295" s="231"/>
      <c r="R295" s="231"/>
    </row>
    <row r="296" spans="1:18">
      <c r="A296" s="231"/>
      <c r="B296" s="231"/>
      <c r="C296" s="231"/>
      <c r="D296" s="231"/>
      <c r="E296" s="231"/>
      <c r="F296" s="231"/>
      <c r="G296" s="231"/>
      <c r="H296" s="231"/>
      <c r="I296" s="231"/>
      <c r="J296" s="231"/>
      <c r="K296" s="231"/>
      <c r="L296" s="231"/>
      <c r="M296" s="231"/>
      <c r="N296" s="231"/>
      <c r="O296" s="231"/>
      <c r="P296" s="231"/>
      <c r="Q296" s="231"/>
      <c r="R296" s="231"/>
    </row>
    <row r="297" spans="1:18">
      <c r="A297" s="231"/>
      <c r="B297" s="231"/>
      <c r="C297" s="231"/>
      <c r="D297" s="231"/>
      <c r="E297" s="231"/>
      <c r="F297" s="231"/>
      <c r="G297" s="231"/>
      <c r="H297" s="231"/>
      <c r="I297" s="231"/>
      <c r="J297" s="231"/>
      <c r="K297" s="231"/>
      <c r="L297" s="231"/>
      <c r="M297" s="231"/>
      <c r="N297" s="231"/>
      <c r="O297" s="231"/>
      <c r="P297" s="231"/>
      <c r="Q297" s="231"/>
      <c r="R297" s="231"/>
    </row>
    <row r="298" spans="1:18">
      <c r="A298" s="231"/>
      <c r="B298" s="231"/>
      <c r="C298" s="231"/>
      <c r="D298" s="231"/>
      <c r="E298" s="231"/>
      <c r="F298" s="231"/>
      <c r="G298" s="231"/>
      <c r="H298" s="231"/>
      <c r="I298" s="231"/>
      <c r="J298" s="231"/>
      <c r="K298" s="231"/>
      <c r="L298" s="231"/>
      <c r="M298" s="231"/>
      <c r="N298" s="231"/>
      <c r="O298" s="231"/>
      <c r="P298" s="231"/>
      <c r="Q298" s="231"/>
      <c r="R298" s="231"/>
    </row>
    <row r="299" spans="1:18">
      <c r="A299" s="231"/>
      <c r="B299" s="231"/>
      <c r="C299" s="231"/>
      <c r="D299" s="231"/>
      <c r="E299" s="231"/>
      <c r="F299" s="231"/>
      <c r="G299" s="231"/>
      <c r="H299" s="231"/>
      <c r="I299" s="231"/>
      <c r="J299" s="231"/>
      <c r="K299" s="231"/>
      <c r="L299" s="231"/>
      <c r="M299" s="231"/>
      <c r="N299" s="231"/>
      <c r="O299" s="231"/>
      <c r="P299" s="231"/>
      <c r="Q299" s="231"/>
      <c r="R299" s="231"/>
    </row>
    <row r="300" spans="1:18">
      <c r="A300" s="231"/>
      <c r="B300" s="231"/>
      <c r="C300" s="231"/>
      <c r="D300" s="231"/>
      <c r="E300" s="231"/>
      <c r="F300" s="231"/>
      <c r="G300" s="231"/>
      <c r="H300" s="231"/>
      <c r="I300" s="231"/>
      <c r="J300" s="231"/>
      <c r="K300" s="231"/>
      <c r="L300" s="231"/>
      <c r="M300" s="231"/>
      <c r="N300" s="231"/>
      <c r="O300" s="231"/>
      <c r="P300" s="231"/>
      <c r="Q300" s="231"/>
      <c r="R300" s="231"/>
    </row>
    <row r="301" spans="1:18">
      <c r="A301" s="231"/>
      <c r="B301" s="231"/>
      <c r="C301" s="231"/>
      <c r="D301" s="231"/>
      <c r="E301" s="231"/>
      <c r="F301" s="231"/>
      <c r="G301" s="231"/>
      <c r="H301" s="231"/>
      <c r="I301" s="231"/>
      <c r="J301" s="231"/>
      <c r="K301" s="231"/>
      <c r="L301" s="231"/>
      <c r="M301" s="231"/>
      <c r="N301" s="231"/>
      <c r="O301" s="231"/>
      <c r="P301" s="231"/>
      <c r="Q301" s="231"/>
      <c r="R301" s="231"/>
    </row>
    <row r="302" spans="1:18">
      <c r="A302" s="231"/>
      <c r="B302" s="231"/>
      <c r="C302" s="231"/>
      <c r="D302" s="231"/>
      <c r="E302" s="231"/>
      <c r="F302" s="231"/>
      <c r="G302" s="231"/>
      <c r="H302" s="231"/>
      <c r="I302" s="231"/>
      <c r="J302" s="231"/>
      <c r="K302" s="231"/>
      <c r="L302" s="231"/>
      <c r="M302" s="231"/>
      <c r="N302" s="231"/>
      <c r="O302" s="231"/>
      <c r="P302" s="231"/>
      <c r="Q302" s="231"/>
      <c r="R302" s="231"/>
    </row>
    <row r="303" spans="1:18">
      <c r="A303" s="231"/>
      <c r="B303" s="231"/>
      <c r="C303" s="231"/>
      <c r="D303" s="231"/>
      <c r="E303" s="231"/>
      <c r="F303" s="231"/>
      <c r="G303" s="231"/>
      <c r="H303" s="231"/>
      <c r="I303" s="231"/>
      <c r="J303" s="231"/>
      <c r="K303" s="231"/>
      <c r="L303" s="231"/>
      <c r="M303" s="231"/>
      <c r="N303" s="231"/>
      <c r="O303" s="231"/>
      <c r="P303" s="231"/>
      <c r="Q303" s="231"/>
      <c r="R303" s="231"/>
    </row>
    <row r="304" spans="1:18">
      <c r="A304" s="231"/>
      <c r="B304" s="231"/>
      <c r="C304" s="231"/>
      <c r="D304" s="231"/>
      <c r="E304" s="231"/>
      <c r="F304" s="231"/>
      <c r="G304" s="231"/>
      <c r="H304" s="231"/>
      <c r="I304" s="231"/>
      <c r="J304" s="231"/>
      <c r="K304" s="231"/>
      <c r="L304" s="231"/>
      <c r="M304" s="231"/>
      <c r="N304" s="231"/>
      <c r="O304" s="231"/>
      <c r="P304" s="231"/>
      <c r="Q304" s="231"/>
      <c r="R304" s="231"/>
    </row>
    <row r="305" spans="1:18">
      <c r="A305" s="231"/>
      <c r="B305" s="231"/>
      <c r="C305" s="231"/>
      <c r="D305" s="231"/>
      <c r="E305" s="231"/>
      <c r="F305" s="231"/>
      <c r="G305" s="231"/>
      <c r="H305" s="231"/>
      <c r="I305" s="231"/>
      <c r="J305" s="231"/>
      <c r="K305" s="231"/>
      <c r="L305" s="231"/>
      <c r="M305" s="231"/>
      <c r="N305" s="231"/>
      <c r="O305" s="231"/>
      <c r="P305" s="231"/>
      <c r="Q305" s="231"/>
      <c r="R305" s="231"/>
    </row>
    <row r="306" spans="1:18">
      <c r="A306" s="231"/>
      <c r="B306" s="231"/>
      <c r="C306" s="231"/>
      <c r="D306" s="231"/>
      <c r="E306" s="231"/>
      <c r="F306" s="231"/>
      <c r="G306" s="231"/>
      <c r="H306" s="231"/>
      <c r="I306" s="231"/>
      <c r="J306" s="231"/>
      <c r="K306" s="231"/>
      <c r="L306" s="231"/>
      <c r="M306" s="231"/>
      <c r="N306" s="231"/>
      <c r="O306" s="231"/>
      <c r="P306" s="231"/>
      <c r="Q306" s="231"/>
      <c r="R306" s="231"/>
    </row>
    <row r="307" spans="1:18">
      <c r="A307" s="231"/>
      <c r="B307" s="231"/>
      <c r="C307" s="231"/>
      <c r="D307" s="231"/>
      <c r="E307" s="231"/>
      <c r="F307" s="231"/>
      <c r="G307" s="231"/>
      <c r="H307" s="231"/>
      <c r="I307" s="231"/>
      <c r="J307" s="231"/>
      <c r="K307" s="231"/>
      <c r="L307" s="231"/>
      <c r="M307" s="231"/>
      <c r="N307" s="231"/>
      <c r="O307" s="231"/>
      <c r="P307" s="231"/>
      <c r="Q307" s="231"/>
      <c r="R307" s="231"/>
    </row>
    <row r="308" spans="1:18">
      <c r="A308" s="231"/>
      <c r="B308" s="231"/>
      <c r="C308" s="231"/>
      <c r="D308" s="231"/>
      <c r="E308" s="231"/>
      <c r="F308" s="231"/>
      <c r="G308" s="231"/>
      <c r="H308" s="231"/>
      <c r="I308" s="231"/>
      <c r="J308" s="231"/>
      <c r="K308" s="231"/>
      <c r="L308" s="231"/>
      <c r="M308" s="231"/>
      <c r="N308" s="231"/>
      <c r="O308" s="231"/>
      <c r="P308" s="231"/>
      <c r="Q308" s="231"/>
      <c r="R308" s="231"/>
    </row>
    <row r="309" spans="1:18">
      <c r="A309" s="231"/>
      <c r="B309" s="231"/>
      <c r="C309" s="231"/>
      <c r="D309" s="231"/>
      <c r="E309" s="231"/>
      <c r="F309" s="231"/>
      <c r="G309" s="231"/>
      <c r="H309" s="231"/>
      <c r="I309" s="231"/>
      <c r="J309" s="231"/>
      <c r="K309" s="231"/>
      <c r="L309" s="231"/>
      <c r="M309" s="231"/>
      <c r="N309" s="231"/>
      <c r="O309" s="231"/>
      <c r="P309" s="231"/>
      <c r="Q309" s="231"/>
      <c r="R309" s="231"/>
    </row>
    <row r="310" spans="1:18">
      <c r="A310" s="231"/>
      <c r="B310" s="231"/>
      <c r="C310" s="231"/>
      <c r="D310" s="231"/>
      <c r="E310" s="231"/>
      <c r="F310" s="231"/>
      <c r="G310" s="231"/>
      <c r="H310" s="231"/>
      <c r="I310" s="231"/>
      <c r="J310" s="231"/>
      <c r="K310" s="231"/>
      <c r="L310" s="231"/>
      <c r="M310" s="231"/>
      <c r="N310" s="231"/>
      <c r="O310" s="231"/>
      <c r="P310" s="231"/>
      <c r="Q310" s="231"/>
      <c r="R310" s="231"/>
    </row>
    <row r="311" spans="1:18">
      <c r="A311" s="231"/>
      <c r="B311" s="231"/>
      <c r="C311" s="231"/>
      <c r="D311" s="231"/>
      <c r="E311" s="231"/>
      <c r="F311" s="231"/>
      <c r="G311" s="231"/>
      <c r="H311" s="231"/>
      <c r="I311" s="231"/>
      <c r="J311" s="231"/>
      <c r="K311" s="231"/>
      <c r="L311" s="231"/>
      <c r="M311" s="231"/>
      <c r="N311" s="231"/>
      <c r="O311" s="231"/>
      <c r="P311" s="231"/>
      <c r="Q311" s="231"/>
      <c r="R311" s="231"/>
    </row>
    <row r="312" spans="1:18">
      <c r="A312" s="231"/>
      <c r="B312" s="231"/>
      <c r="C312" s="231"/>
      <c r="D312" s="231"/>
      <c r="E312" s="231"/>
      <c r="F312" s="231"/>
      <c r="G312" s="231"/>
      <c r="H312" s="231"/>
      <c r="I312" s="231"/>
      <c r="J312" s="231"/>
      <c r="K312" s="231"/>
      <c r="L312" s="231"/>
      <c r="M312" s="231"/>
      <c r="N312" s="231"/>
      <c r="O312" s="231"/>
      <c r="P312" s="231"/>
      <c r="Q312" s="231"/>
      <c r="R312" s="231"/>
    </row>
    <row r="313" spans="1:18">
      <c r="A313" s="231"/>
      <c r="B313" s="231"/>
      <c r="C313" s="231"/>
      <c r="D313" s="231"/>
      <c r="E313" s="231"/>
      <c r="F313" s="231"/>
      <c r="G313" s="231"/>
      <c r="H313" s="231"/>
      <c r="I313" s="231"/>
      <c r="J313" s="231"/>
      <c r="K313" s="231"/>
      <c r="L313" s="231"/>
      <c r="M313" s="231"/>
      <c r="N313" s="231"/>
      <c r="O313" s="231"/>
      <c r="P313" s="231"/>
      <c r="Q313" s="231"/>
      <c r="R313" s="231"/>
    </row>
    <row r="314" spans="1:18">
      <c r="A314" s="231"/>
      <c r="B314" s="231"/>
      <c r="C314" s="231"/>
      <c r="D314" s="231"/>
      <c r="E314" s="231"/>
      <c r="F314" s="231"/>
      <c r="G314" s="231"/>
      <c r="H314" s="231"/>
      <c r="I314" s="231"/>
      <c r="J314" s="231"/>
      <c r="K314" s="231"/>
      <c r="L314" s="231"/>
      <c r="M314" s="231"/>
      <c r="N314" s="231"/>
      <c r="O314" s="231"/>
      <c r="P314" s="231"/>
      <c r="Q314" s="231"/>
      <c r="R314" s="231"/>
    </row>
    <row r="315" spans="1:18">
      <c r="A315" s="231"/>
      <c r="B315" s="231"/>
      <c r="C315" s="231"/>
      <c r="D315" s="231"/>
      <c r="E315" s="231"/>
      <c r="F315" s="231"/>
      <c r="G315" s="231"/>
      <c r="H315" s="231"/>
      <c r="I315" s="231"/>
      <c r="J315" s="231"/>
      <c r="K315" s="231"/>
      <c r="L315" s="231"/>
      <c r="M315" s="231"/>
      <c r="N315" s="231"/>
      <c r="O315" s="231"/>
      <c r="P315" s="231"/>
      <c r="Q315" s="231"/>
      <c r="R315" s="231"/>
    </row>
    <row r="316" spans="1:18">
      <c r="A316" s="231"/>
      <c r="B316" s="231"/>
      <c r="C316" s="231"/>
      <c r="D316" s="231"/>
      <c r="E316" s="231"/>
      <c r="F316" s="231"/>
      <c r="G316" s="231"/>
      <c r="H316" s="231"/>
      <c r="I316" s="231"/>
      <c r="J316" s="231"/>
      <c r="K316" s="231"/>
      <c r="L316" s="231"/>
      <c r="M316" s="231"/>
      <c r="N316" s="231"/>
      <c r="O316" s="231"/>
      <c r="P316" s="231"/>
      <c r="Q316" s="231"/>
      <c r="R316" s="231"/>
    </row>
    <row r="317" spans="1:18">
      <c r="A317" s="231"/>
      <c r="B317" s="231"/>
      <c r="C317" s="231"/>
      <c r="D317" s="231"/>
      <c r="E317" s="231"/>
      <c r="F317" s="231"/>
      <c r="G317" s="231"/>
      <c r="H317" s="231"/>
      <c r="I317" s="231"/>
      <c r="J317" s="231"/>
      <c r="K317" s="231"/>
      <c r="L317" s="231"/>
      <c r="M317" s="231"/>
      <c r="N317" s="231"/>
      <c r="O317" s="231"/>
      <c r="P317" s="231"/>
      <c r="Q317" s="231"/>
      <c r="R317" s="231"/>
    </row>
    <row r="318" spans="1:18">
      <c r="A318" s="231"/>
      <c r="B318" s="231"/>
      <c r="C318" s="231"/>
      <c r="D318" s="231"/>
      <c r="E318" s="231"/>
      <c r="F318" s="231"/>
      <c r="G318" s="231"/>
      <c r="H318" s="231"/>
      <c r="I318" s="231"/>
      <c r="J318" s="231"/>
      <c r="K318" s="231"/>
      <c r="L318" s="231"/>
      <c r="M318" s="231"/>
      <c r="N318" s="231"/>
      <c r="O318" s="231"/>
      <c r="P318" s="231"/>
      <c r="Q318" s="231"/>
      <c r="R318" s="231"/>
    </row>
    <row r="319" spans="1:18">
      <c r="A319" s="231"/>
      <c r="B319" s="231"/>
      <c r="C319" s="231"/>
      <c r="D319" s="231"/>
      <c r="E319" s="231"/>
      <c r="F319" s="231"/>
      <c r="G319" s="231"/>
      <c r="H319" s="231"/>
      <c r="I319" s="231"/>
      <c r="J319" s="231"/>
      <c r="K319" s="231"/>
      <c r="L319" s="231"/>
      <c r="M319" s="231"/>
      <c r="N319" s="231"/>
      <c r="O319" s="231"/>
      <c r="P319" s="231"/>
      <c r="Q319" s="231"/>
      <c r="R319" s="231"/>
    </row>
    <row r="320" spans="1:18">
      <c r="A320" s="231"/>
      <c r="B320" s="231"/>
      <c r="C320" s="231"/>
      <c r="D320" s="231"/>
      <c r="E320" s="231"/>
      <c r="F320" s="231"/>
      <c r="G320" s="231"/>
      <c r="H320" s="231"/>
      <c r="I320" s="231"/>
      <c r="J320" s="231"/>
      <c r="K320" s="231"/>
      <c r="L320" s="231"/>
      <c r="M320" s="231"/>
      <c r="N320" s="231"/>
      <c r="O320" s="231"/>
      <c r="P320" s="231"/>
      <c r="Q320" s="231"/>
      <c r="R320" s="231"/>
    </row>
    <row r="321" spans="1:18">
      <c r="A321" s="231"/>
      <c r="B321" s="231"/>
      <c r="C321" s="231"/>
      <c r="D321" s="231"/>
      <c r="E321" s="231"/>
      <c r="F321" s="231"/>
      <c r="G321" s="231"/>
      <c r="H321" s="231"/>
      <c r="I321" s="231"/>
      <c r="J321" s="231"/>
      <c r="K321" s="231"/>
      <c r="L321" s="231"/>
      <c r="M321" s="231"/>
      <c r="N321" s="231"/>
      <c r="O321" s="231"/>
      <c r="P321" s="231"/>
      <c r="Q321" s="231"/>
      <c r="R321" s="231"/>
    </row>
    <row r="322" spans="1:18">
      <c r="A322" s="231"/>
      <c r="B322" s="231"/>
      <c r="C322" s="231"/>
      <c r="D322" s="231"/>
      <c r="E322" s="231"/>
      <c r="F322" s="231"/>
      <c r="G322" s="231"/>
      <c r="H322" s="231"/>
      <c r="I322" s="231"/>
      <c r="J322" s="231"/>
      <c r="K322" s="231"/>
      <c r="L322" s="231"/>
      <c r="M322" s="231"/>
      <c r="N322" s="231"/>
      <c r="O322" s="231"/>
      <c r="P322" s="231"/>
      <c r="Q322" s="231"/>
      <c r="R322" s="231"/>
    </row>
    <row r="323" spans="1:18">
      <c r="A323" s="231"/>
      <c r="B323" s="231"/>
      <c r="C323" s="231"/>
      <c r="D323" s="231"/>
      <c r="E323" s="231"/>
      <c r="F323" s="231"/>
      <c r="G323" s="231"/>
      <c r="H323" s="231"/>
      <c r="I323" s="231"/>
      <c r="J323" s="231"/>
      <c r="K323" s="231"/>
      <c r="L323" s="231"/>
      <c r="M323" s="231"/>
      <c r="N323" s="231"/>
      <c r="O323" s="231"/>
      <c r="P323" s="231"/>
      <c r="Q323" s="231"/>
      <c r="R323" s="231"/>
    </row>
    <row r="324" spans="1:18">
      <c r="A324" s="231"/>
      <c r="B324" s="231"/>
      <c r="C324" s="231"/>
      <c r="D324" s="231"/>
      <c r="E324" s="231"/>
      <c r="F324" s="231"/>
      <c r="G324" s="231"/>
      <c r="H324" s="231"/>
      <c r="I324" s="231"/>
      <c r="J324" s="231"/>
      <c r="K324" s="231"/>
      <c r="L324" s="231"/>
      <c r="M324" s="231"/>
      <c r="N324" s="231"/>
      <c r="O324" s="231"/>
      <c r="P324" s="231"/>
      <c r="Q324" s="231"/>
      <c r="R324" s="231"/>
    </row>
    <row r="325" spans="1:18">
      <c r="A325" s="231"/>
      <c r="B325" s="231"/>
      <c r="C325" s="231"/>
      <c r="D325" s="231"/>
      <c r="E325" s="231"/>
      <c r="F325" s="231"/>
      <c r="G325" s="231"/>
      <c r="H325" s="231"/>
      <c r="I325" s="231"/>
      <c r="J325" s="231"/>
      <c r="K325" s="231"/>
      <c r="L325" s="231"/>
      <c r="M325" s="231"/>
      <c r="N325" s="231"/>
      <c r="O325" s="231"/>
      <c r="P325" s="231"/>
      <c r="Q325" s="231"/>
      <c r="R325" s="231"/>
    </row>
    <row r="326" spans="1:18">
      <c r="A326" s="231"/>
      <c r="B326" s="231"/>
      <c r="C326" s="231"/>
      <c r="D326" s="231"/>
      <c r="E326" s="231"/>
      <c r="F326" s="231"/>
      <c r="G326" s="231"/>
      <c r="H326" s="231"/>
      <c r="I326" s="231"/>
      <c r="J326" s="231"/>
      <c r="K326" s="231"/>
      <c r="L326" s="231"/>
      <c r="M326" s="231"/>
      <c r="N326" s="231"/>
      <c r="O326" s="231"/>
      <c r="P326" s="231"/>
      <c r="Q326" s="231"/>
      <c r="R326" s="231"/>
    </row>
    <row r="327" spans="1:18">
      <c r="A327" s="231"/>
      <c r="B327" s="231"/>
      <c r="C327" s="231"/>
      <c r="D327" s="231"/>
      <c r="E327" s="231"/>
      <c r="F327" s="231"/>
      <c r="G327" s="231"/>
      <c r="H327" s="231"/>
      <c r="I327" s="231"/>
      <c r="J327" s="231"/>
      <c r="K327" s="231"/>
      <c r="L327" s="231"/>
      <c r="M327" s="231"/>
      <c r="N327" s="231"/>
      <c r="O327" s="231"/>
      <c r="P327" s="231"/>
      <c r="Q327" s="231"/>
      <c r="R327" s="231"/>
    </row>
    <row r="328" spans="1:18">
      <c r="A328" s="231"/>
      <c r="B328" s="231"/>
      <c r="C328" s="231"/>
      <c r="D328" s="231"/>
      <c r="E328" s="231"/>
      <c r="F328" s="231"/>
      <c r="G328" s="231"/>
      <c r="H328" s="231"/>
      <c r="I328" s="231"/>
      <c r="J328" s="231"/>
      <c r="K328" s="231"/>
      <c r="L328" s="231"/>
      <c r="M328" s="231"/>
      <c r="N328" s="231"/>
      <c r="O328" s="231"/>
      <c r="P328" s="231"/>
      <c r="Q328" s="231"/>
      <c r="R328" s="231"/>
    </row>
    <row r="329" spans="1:18">
      <c r="A329" s="231"/>
      <c r="B329" s="231"/>
      <c r="C329" s="231"/>
      <c r="D329" s="231"/>
      <c r="E329" s="231"/>
      <c r="F329" s="231"/>
      <c r="G329" s="231"/>
      <c r="H329" s="231"/>
      <c r="I329" s="231"/>
      <c r="J329" s="231"/>
      <c r="K329" s="231"/>
      <c r="L329" s="231"/>
      <c r="M329" s="231"/>
      <c r="N329" s="231"/>
      <c r="O329" s="231"/>
      <c r="P329" s="231"/>
      <c r="Q329" s="231"/>
      <c r="R329" s="231"/>
    </row>
    <row r="330" spans="1:18">
      <c r="A330" s="231"/>
      <c r="B330" s="231"/>
      <c r="C330" s="231"/>
      <c r="D330" s="231"/>
      <c r="E330" s="231"/>
      <c r="F330" s="231"/>
      <c r="G330" s="231"/>
      <c r="H330" s="231"/>
      <c r="I330" s="231"/>
      <c r="J330" s="231"/>
      <c r="K330" s="231"/>
      <c r="L330" s="231"/>
      <c r="M330" s="231"/>
      <c r="N330" s="231"/>
      <c r="O330" s="231"/>
      <c r="P330" s="231"/>
      <c r="Q330" s="231"/>
      <c r="R330" s="231"/>
    </row>
    <row r="331" spans="1:18">
      <c r="A331" s="231"/>
      <c r="B331" s="231"/>
      <c r="C331" s="231"/>
      <c r="D331" s="231"/>
      <c r="E331" s="231"/>
      <c r="F331" s="231"/>
      <c r="G331" s="231"/>
      <c r="H331" s="231"/>
      <c r="I331" s="231"/>
      <c r="J331" s="231"/>
      <c r="K331" s="231"/>
      <c r="L331" s="231"/>
      <c r="M331" s="231"/>
      <c r="N331" s="231"/>
      <c r="O331" s="231"/>
      <c r="P331" s="231"/>
      <c r="Q331" s="231"/>
      <c r="R331" s="231"/>
    </row>
    <row r="332" spans="1:18">
      <c r="A332" s="231"/>
      <c r="B332" s="231"/>
      <c r="C332" s="231"/>
      <c r="D332" s="231"/>
      <c r="E332" s="231"/>
      <c r="F332" s="231"/>
      <c r="G332" s="231"/>
      <c r="H332" s="231"/>
      <c r="I332" s="231"/>
      <c r="J332" s="231"/>
      <c r="K332" s="231"/>
      <c r="L332" s="231"/>
      <c r="M332" s="231"/>
      <c r="N332" s="231"/>
      <c r="O332" s="231"/>
      <c r="P332" s="231"/>
      <c r="Q332" s="231"/>
      <c r="R332" s="231"/>
    </row>
    <row r="333" spans="1:18">
      <c r="A333" s="231"/>
      <c r="B333" s="231"/>
      <c r="C333" s="231"/>
      <c r="D333" s="231"/>
      <c r="E333" s="231"/>
      <c r="F333" s="231"/>
      <c r="G333" s="231"/>
      <c r="H333" s="231"/>
      <c r="I333" s="231"/>
      <c r="J333" s="231"/>
      <c r="K333" s="231"/>
      <c r="L333" s="231"/>
      <c r="M333" s="231"/>
      <c r="N333" s="231"/>
      <c r="O333" s="231"/>
      <c r="P333" s="231"/>
      <c r="Q333" s="231"/>
      <c r="R333" s="231"/>
    </row>
    <row r="334" spans="1:18">
      <c r="A334" s="231"/>
      <c r="B334" s="231"/>
      <c r="C334" s="231"/>
      <c r="D334" s="231"/>
      <c r="E334" s="231"/>
      <c r="F334" s="231"/>
      <c r="G334" s="231"/>
      <c r="H334" s="231"/>
      <c r="I334" s="231"/>
      <c r="J334" s="231"/>
      <c r="K334" s="231"/>
      <c r="L334" s="231"/>
      <c r="M334" s="231"/>
      <c r="N334" s="231"/>
      <c r="O334" s="231"/>
      <c r="P334" s="231"/>
      <c r="Q334" s="231"/>
      <c r="R334" s="231"/>
    </row>
    <row r="335" spans="1:18">
      <c r="A335" s="231"/>
      <c r="B335" s="231"/>
      <c r="C335" s="231"/>
      <c r="D335" s="231"/>
      <c r="E335" s="231"/>
      <c r="F335" s="231"/>
      <c r="G335" s="231"/>
      <c r="H335" s="231"/>
      <c r="I335" s="231"/>
      <c r="J335" s="231"/>
      <c r="K335" s="231"/>
      <c r="L335" s="231"/>
      <c r="M335" s="231"/>
      <c r="N335" s="231"/>
      <c r="O335" s="231"/>
      <c r="P335" s="231"/>
      <c r="Q335" s="231"/>
      <c r="R335" s="231"/>
    </row>
    <row r="336" spans="1:18">
      <c r="A336" s="231"/>
      <c r="B336" s="231"/>
      <c r="C336" s="231"/>
      <c r="D336" s="231"/>
      <c r="E336" s="231"/>
      <c r="F336" s="231"/>
      <c r="G336" s="231"/>
      <c r="H336" s="231"/>
      <c r="I336" s="231"/>
      <c r="J336" s="231"/>
      <c r="K336" s="231"/>
      <c r="L336" s="231"/>
      <c r="M336" s="231"/>
      <c r="N336" s="231"/>
      <c r="O336" s="231"/>
      <c r="P336" s="231"/>
      <c r="Q336" s="231"/>
      <c r="R336" s="231"/>
    </row>
    <row r="337" spans="1:18">
      <c r="A337" s="231"/>
      <c r="B337" s="231"/>
      <c r="C337" s="231"/>
      <c r="D337" s="231"/>
      <c r="E337" s="231"/>
      <c r="F337" s="231"/>
      <c r="G337" s="231"/>
      <c r="H337" s="231"/>
      <c r="I337" s="231"/>
      <c r="J337" s="231"/>
      <c r="K337" s="231"/>
      <c r="L337" s="231"/>
      <c r="M337" s="231"/>
      <c r="N337" s="231"/>
      <c r="O337" s="231"/>
      <c r="P337" s="231"/>
      <c r="Q337" s="231"/>
      <c r="R337" s="231"/>
    </row>
    <row r="338" spans="1:18">
      <c r="A338" s="231"/>
      <c r="B338" s="231"/>
      <c r="C338" s="231"/>
      <c r="D338" s="231"/>
      <c r="E338" s="231"/>
      <c r="F338" s="231"/>
      <c r="G338" s="231"/>
      <c r="H338" s="231"/>
      <c r="I338" s="231"/>
      <c r="J338" s="231"/>
      <c r="K338" s="231"/>
      <c r="L338" s="231"/>
      <c r="M338" s="231"/>
      <c r="N338" s="231"/>
      <c r="O338" s="231"/>
      <c r="P338" s="231"/>
      <c r="Q338" s="231"/>
      <c r="R338" s="231"/>
    </row>
    <row r="339" spans="1:18">
      <c r="A339" s="231"/>
      <c r="B339" s="231"/>
      <c r="C339" s="231"/>
      <c r="D339" s="231"/>
      <c r="E339" s="231"/>
      <c r="F339" s="231"/>
      <c r="G339" s="231"/>
      <c r="H339" s="231"/>
      <c r="I339" s="231"/>
      <c r="J339" s="231"/>
      <c r="K339" s="231"/>
      <c r="L339" s="231"/>
      <c r="M339" s="231"/>
      <c r="N339" s="231"/>
      <c r="O339" s="231"/>
      <c r="P339" s="231"/>
      <c r="Q339" s="231"/>
      <c r="R339" s="231"/>
    </row>
    <row r="340" spans="1:18">
      <c r="A340" s="231"/>
      <c r="B340" s="231"/>
      <c r="C340" s="231"/>
      <c r="D340" s="231"/>
      <c r="E340" s="231"/>
      <c r="F340" s="231"/>
      <c r="G340" s="231"/>
      <c r="H340" s="231"/>
      <c r="I340" s="231"/>
      <c r="J340" s="231"/>
      <c r="K340" s="231"/>
      <c r="L340" s="231"/>
      <c r="M340" s="231"/>
      <c r="N340" s="231"/>
      <c r="O340" s="231"/>
      <c r="P340" s="231"/>
      <c r="Q340" s="231"/>
      <c r="R340" s="231"/>
    </row>
    <row r="341" spans="1:18">
      <c r="A341" s="231"/>
      <c r="B341" s="231"/>
      <c r="C341" s="231"/>
      <c r="D341" s="231"/>
      <c r="E341" s="231"/>
      <c r="F341" s="231"/>
      <c r="G341" s="231"/>
      <c r="H341" s="231"/>
      <c r="I341" s="231"/>
      <c r="J341" s="231"/>
      <c r="K341" s="231"/>
      <c r="L341" s="231"/>
      <c r="M341" s="231"/>
      <c r="N341" s="231"/>
      <c r="O341" s="231"/>
      <c r="P341" s="231"/>
      <c r="Q341" s="231"/>
      <c r="R341" s="231"/>
    </row>
    <row r="342" spans="1:18">
      <c r="A342" s="231"/>
      <c r="B342" s="231"/>
      <c r="C342" s="231"/>
      <c r="D342" s="231"/>
      <c r="E342" s="231"/>
      <c r="F342" s="231"/>
      <c r="G342" s="231"/>
      <c r="H342" s="231"/>
      <c r="I342" s="231"/>
      <c r="J342" s="231"/>
      <c r="K342" s="231"/>
      <c r="L342" s="231"/>
      <c r="M342" s="231"/>
      <c r="N342" s="231"/>
      <c r="O342" s="231"/>
      <c r="P342" s="231"/>
      <c r="Q342" s="231"/>
      <c r="R342" s="231"/>
    </row>
    <row r="343" spans="1:18">
      <c r="A343" s="231"/>
      <c r="B343" s="231"/>
      <c r="C343" s="231"/>
      <c r="D343" s="231"/>
      <c r="E343" s="231"/>
      <c r="F343" s="231"/>
      <c r="G343" s="231"/>
      <c r="H343" s="231"/>
      <c r="I343" s="231"/>
      <c r="J343" s="231"/>
      <c r="K343" s="231"/>
      <c r="L343" s="231"/>
      <c r="M343" s="231"/>
      <c r="N343" s="231"/>
      <c r="O343" s="231"/>
      <c r="P343" s="231"/>
      <c r="Q343" s="231"/>
      <c r="R343" s="231"/>
    </row>
    <row r="344" spans="1:18">
      <c r="A344" s="231"/>
      <c r="B344" s="231"/>
      <c r="C344" s="231"/>
      <c r="D344" s="231"/>
      <c r="E344" s="231"/>
      <c r="F344" s="231"/>
      <c r="G344" s="231"/>
      <c r="H344" s="231"/>
      <c r="I344" s="231"/>
      <c r="J344" s="231"/>
      <c r="K344" s="231"/>
      <c r="L344" s="231"/>
      <c r="M344" s="231"/>
      <c r="N344" s="231"/>
      <c r="O344" s="231"/>
      <c r="P344" s="231"/>
      <c r="Q344" s="231"/>
      <c r="R344" s="231"/>
    </row>
    <row r="345" spans="1:18">
      <c r="A345" s="231"/>
      <c r="B345" s="231"/>
      <c r="C345" s="231"/>
      <c r="D345" s="231"/>
      <c r="E345" s="231"/>
      <c r="F345" s="231"/>
      <c r="G345" s="231"/>
      <c r="H345" s="231"/>
      <c r="I345" s="231"/>
      <c r="J345" s="231"/>
      <c r="K345" s="231"/>
      <c r="L345" s="231"/>
      <c r="M345" s="231"/>
      <c r="N345" s="231"/>
      <c r="O345" s="231"/>
      <c r="P345" s="231"/>
      <c r="Q345" s="231"/>
      <c r="R345" s="231"/>
    </row>
    <row r="346" spans="1:18">
      <c r="A346" s="231"/>
      <c r="B346" s="231"/>
      <c r="C346" s="231"/>
      <c r="D346" s="231"/>
      <c r="E346" s="231"/>
      <c r="F346" s="231"/>
      <c r="G346" s="231"/>
      <c r="H346" s="231"/>
      <c r="I346" s="231"/>
      <c r="J346" s="231"/>
      <c r="K346" s="231"/>
      <c r="L346" s="231"/>
      <c r="M346" s="231"/>
      <c r="N346" s="231"/>
      <c r="O346" s="231"/>
      <c r="P346" s="231"/>
      <c r="Q346" s="231"/>
      <c r="R346" s="231"/>
    </row>
    <row r="347" spans="1:18">
      <c r="A347" s="231"/>
      <c r="B347" s="231"/>
      <c r="C347" s="231"/>
      <c r="D347" s="231"/>
      <c r="E347" s="231"/>
      <c r="F347" s="231"/>
      <c r="G347" s="231"/>
      <c r="H347" s="231"/>
      <c r="I347" s="231"/>
      <c r="J347" s="231"/>
      <c r="K347" s="231"/>
      <c r="L347" s="231"/>
      <c r="M347" s="231"/>
      <c r="N347" s="231"/>
      <c r="O347" s="231"/>
      <c r="P347" s="231"/>
      <c r="Q347" s="231"/>
      <c r="R347" s="231"/>
    </row>
    <row r="348" spans="1:18">
      <c r="A348" s="231"/>
      <c r="B348" s="231"/>
      <c r="C348" s="231"/>
      <c r="D348" s="231"/>
      <c r="E348" s="231"/>
      <c r="F348" s="231"/>
      <c r="G348" s="231"/>
      <c r="H348" s="231"/>
      <c r="I348" s="231"/>
      <c r="J348" s="231"/>
      <c r="K348" s="231"/>
      <c r="L348" s="231"/>
      <c r="M348" s="231"/>
      <c r="N348" s="231"/>
      <c r="O348" s="231"/>
      <c r="P348" s="231"/>
      <c r="Q348" s="231"/>
      <c r="R348" s="231"/>
    </row>
    <row r="349" spans="1:18">
      <c r="A349" s="231"/>
      <c r="B349" s="231"/>
      <c r="C349" s="231"/>
      <c r="D349" s="231"/>
      <c r="E349" s="231"/>
      <c r="F349" s="231"/>
      <c r="G349" s="231"/>
      <c r="H349" s="231"/>
      <c r="I349" s="231"/>
      <c r="J349" s="231"/>
      <c r="K349" s="231"/>
      <c r="L349" s="231"/>
      <c r="M349" s="231"/>
      <c r="N349" s="231"/>
      <c r="O349" s="231"/>
      <c r="P349" s="231"/>
      <c r="Q349" s="231"/>
      <c r="R349" s="231"/>
    </row>
    <row r="350" spans="1:18">
      <c r="A350" s="231"/>
      <c r="B350" s="231"/>
      <c r="C350" s="231"/>
      <c r="D350" s="231"/>
      <c r="E350" s="231"/>
      <c r="F350" s="231"/>
      <c r="G350" s="231"/>
      <c r="H350" s="231"/>
      <c r="I350" s="231"/>
      <c r="J350" s="231"/>
      <c r="K350" s="231"/>
      <c r="L350" s="231"/>
      <c r="M350" s="231"/>
      <c r="N350" s="231"/>
      <c r="O350" s="231"/>
      <c r="P350" s="231"/>
      <c r="Q350" s="231"/>
      <c r="R350" s="231"/>
    </row>
    <row r="351" spans="1:18">
      <c r="A351" s="231"/>
      <c r="B351" s="231"/>
      <c r="C351" s="231"/>
      <c r="D351" s="231"/>
      <c r="E351" s="231"/>
      <c r="F351" s="231"/>
      <c r="G351" s="231"/>
      <c r="H351" s="231"/>
      <c r="I351" s="231"/>
      <c r="J351" s="231"/>
      <c r="K351" s="231"/>
      <c r="L351" s="231"/>
      <c r="M351" s="231"/>
      <c r="N351" s="231"/>
      <c r="O351" s="231"/>
      <c r="P351" s="231"/>
      <c r="Q351" s="231"/>
      <c r="R351" s="231"/>
    </row>
    <row r="352" spans="1:18">
      <c r="A352" s="231"/>
      <c r="B352" s="231"/>
      <c r="C352" s="231"/>
      <c r="D352" s="231"/>
      <c r="E352" s="231"/>
      <c r="F352" s="231"/>
      <c r="G352" s="231"/>
      <c r="H352" s="231"/>
      <c r="I352" s="231"/>
      <c r="J352" s="231"/>
      <c r="K352" s="231"/>
      <c r="L352" s="231"/>
      <c r="M352" s="231"/>
      <c r="N352" s="231"/>
      <c r="O352" s="231"/>
      <c r="P352" s="231"/>
      <c r="Q352" s="231"/>
      <c r="R352" s="231"/>
    </row>
    <row r="353" spans="1:18">
      <c r="A353" s="231"/>
      <c r="B353" s="231"/>
      <c r="C353" s="231"/>
      <c r="D353" s="231"/>
      <c r="E353" s="231"/>
      <c r="F353" s="231"/>
      <c r="G353" s="231"/>
      <c r="H353" s="231"/>
      <c r="I353" s="231"/>
      <c r="J353" s="231"/>
      <c r="K353" s="231"/>
      <c r="L353" s="231"/>
      <c r="M353" s="231"/>
      <c r="N353" s="231"/>
      <c r="O353" s="231"/>
      <c r="P353" s="231"/>
      <c r="Q353" s="231"/>
      <c r="R353" s="231"/>
    </row>
    <row r="354" spans="1:18">
      <c r="A354" s="231"/>
      <c r="B354" s="231"/>
      <c r="C354" s="231"/>
      <c r="D354" s="231"/>
      <c r="E354" s="231"/>
      <c r="F354" s="231"/>
      <c r="G354" s="231"/>
      <c r="H354" s="231"/>
      <c r="I354" s="231"/>
      <c r="J354" s="231"/>
      <c r="K354" s="231"/>
      <c r="L354" s="231"/>
      <c r="M354" s="231"/>
      <c r="N354" s="231"/>
      <c r="O354" s="231"/>
      <c r="P354" s="231"/>
      <c r="Q354" s="231"/>
      <c r="R354" s="231"/>
    </row>
    <row r="355" spans="1:18">
      <c r="A355" s="231"/>
      <c r="B355" s="231"/>
      <c r="C355" s="231"/>
      <c r="D355" s="231"/>
      <c r="E355" s="231"/>
      <c r="F355" s="231"/>
      <c r="G355" s="231"/>
      <c r="H355" s="231"/>
      <c r="I355" s="231"/>
      <c r="J355" s="231"/>
      <c r="K355" s="231"/>
      <c r="L355" s="231"/>
      <c r="M355" s="231"/>
      <c r="N355" s="231"/>
      <c r="O355" s="231"/>
      <c r="P355" s="231"/>
      <c r="Q355" s="231"/>
      <c r="R355" s="231"/>
    </row>
    <row r="356" spans="1:18">
      <c r="A356" s="231"/>
      <c r="B356" s="231"/>
      <c r="C356" s="231"/>
      <c r="D356" s="231"/>
      <c r="E356" s="231"/>
      <c r="F356" s="231"/>
      <c r="G356" s="231"/>
      <c r="H356" s="231"/>
      <c r="I356" s="231"/>
      <c r="J356" s="231"/>
      <c r="K356" s="231"/>
      <c r="L356" s="231"/>
      <c r="M356" s="231"/>
      <c r="N356" s="231"/>
      <c r="O356" s="231"/>
      <c r="P356" s="231"/>
      <c r="Q356" s="231"/>
      <c r="R356" s="231"/>
    </row>
    <row r="357" spans="1:18">
      <c r="A357" s="231"/>
      <c r="B357" s="231"/>
      <c r="C357" s="231"/>
      <c r="D357" s="231"/>
      <c r="E357" s="231"/>
      <c r="F357" s="231"/>
      <c r="G357" s="231"/>
      <c r="H357" s="231"/>
      <c r="I357" s="231"/>
      <c r="J357" s="231"/>
      <c r="K357" s="231"/>
      <c r="L357" s="231"/>
      <c r="M357" s="231"/>
      <c r="N357" s="231"/>
      <c r="O357" s="231"/>
      <c r="P357" s="231"/>
      <c r="Q357" s="231"/>
      <c r="R357" s="231"/>
    </row>
    <row r="358" spans="1:18">
      <c r="A358" s="231"/>
      <c r="B358" s="231"/>
      <c r="C358" s="231"/>
      <c r="D358" s="231"/>
      <c r="E358" s="231"/>
      <c r="F358" s="231"/>
      <c r="G358" s="231"/>
      <c r="H358" s="231"/>
      <c r="I358" s="231"/>
      <c r="J358" s="231"/>
      <c r="K358" s="231"/>
      <c r="L358" s="231"/>
      <c r="M358" s="231"/>
      <c r="N358" s="231"/>
      <c r="O358" s="231"/>
      <c r="P358" s="231"/>
      <c r="Q358" s="231"/>
      <c r="R358" s="231"/>
    </row>
    <row r="359" spans="1:18">
      <c r="A359" s="231"/>
      <c r="B359" s="231"/>
      <c r="C359" s="231"/>
      <c r="D359" s="231"/>
      <c r="E359" s="231"/>
      <c r="F359" s="231"/>
      <c r="G359" s="231"/>
      <c r="H359" s="231"/>
      <c r="I359" s="231"/>
      <c r="J359" s="231"/>
      <c r="K359" s="231"/>
      <c r="L359" s="231"/>
      <c r="M359" s="231"/>
      <c r="N359" s="231"/>
      <c r="O359" s="231"/>
      <c r="P359" s="231"/>
      <c r="Q359" s="231"/>
      <c r="R359" s="231"/>
    </row>
    <row r="360" spans="1:18">
      <c r="A360" s="231"/>
      <c r="B360" s="231"/>
      <c r="C360" s="231"/>
      <c r="D360" s="231"/>
      <c r="E360" s="231"/>
      <c r="F360" s="231"/>
      <c r="G360" s="231"/>
      <c r="H360" s="231"/>
      <c r="I360" s="231"/>
      <c r="J360" s="231"/>
      <c r="K360" s="231"/>
      <c r="L360" s="231"/>
      <c r="M360" s="231"/>
      <c r="N360" s="231"/>
      <c r="O360" s="231"/>
      <c r="P360" s="231"/>
      <c r="Q360" s="231"/>
      <c r="R360" s="231"/>
    </row>
    <row r="361" spans="1:18">
      <c r="A361" s="231"/>
      <c r="B361" s="231"/>
      <c r="C361" s="231"/>
      <c r="D361" s="231"/>
      <c r="E361" s="231"/>
      <c r="F361" s="231"/>
      <c r="G361" s="231"/>
      <c r="H361" s="231"/>
      <c r="I361" s="231"/>
      <c r="J361" s="231"/>
      <c r="K361" s="231"/>
      <c r="L361" s="231"/>
      <c r="M361" s="231"/>
      <c r="N361" s="231"/>
      <c r="O361" s="231"/>
      <c r="P361" s="231"/>
      <c r="Q361" s="231"/>
      <c r="R361" s="231"/>
    </row>
    <row r="362" spans="1:18">
      <c r="A362" s="231"/>
      <c r="B362" s="231"/>
      <c r="C362" s="231"/>
      <c r="D362" s="231"/>
      <c r="E362" s="231"/>
      <c r="F362" s="231"/>
      <c r="G362" s="231"/>
      <c r="H362" s="231"/>
      <c r="I362" s="231"/>
      <c r="J362" s="231"/>
      <c r="K362" s="231"/>
      <c r="L362" s="231"/>
      <c r="M362" s="231"/>
      <c r="N362" s="231"/>
      <c r="O362" s="231"/>
      <c r="P362" s="231"/>
      <c r="Q362" s="231"/>
      <c r="R362" s="231"/>
    </row>
    <row r="363" spans="1:18">
      <c r="A363" s="231"/>
      <c r="B363" s="231"/>
      <c r="C363" s="231"/>
      <c r="D363" s="231"/>
      <c r="E363" s="231"/>
      <c r="F363" s="231"/>
      <c r="G363" s="231"/>
      <c r="H363" s="231"/>
      <c r="I363" s="231"/>
      <c r="J363" s="231"/>
      <c r="K363" s="231"/>
      <c r="L363" s="231"/>
      <c r="M363" s="231"/>
      <c r="N363" s="231"/>
      <c r="O363" s="231"/>
      <c r="P363" s="231"/>
      <c r="Q363" s="231"/>
      <c r="R363" s="231"/>
    </row>
    <row r="364" spans="1:18">
      <c r="A364" s="231"/>
      <c r="B364" s="231"/>
      <c r="C364" s="231"/>
      <c r="D364" s="231"/>
      <c r="E364" s="231"/>
      <c r="F364" s="231"/>
      <c r="G364" s="231"/>
      <c r="H364" s="231"/>
      <c r="I364" s="231"/>
      <c r="J364" s="231"/>
      <c r="K364" s="231"/>
      <c r="L364" s="231"/>
      <c r="M364" s="231"/>
      <c r="N364" s="231"/>
      <c r="O364" s="231"/>
      <c r="P364" s="231"/>
      <c r="Q364" s="231"/>
      <c r="R364" s="231"/>
    </row>
    <row r="365" spans="1:18">
      <c r="A365" s="231"/>
      <c r="B365" s="231"/>
      <c r="C365" s="231"/>
      <c r="D365" s="231"/>
      <c r="E365" s="231"/>
      <c r="F365" s="231"/>
      <c r="G365" s="231"/>
      <c r="H365" s="231"/>
      <c r="I365" s="231"/>
      <c r="J365" s="231"/>
      <c r="K365" s="231"/>
      <c r="L365" s="231"/>
      <c r="M365" s="231"/>
      <c r="N365" s="231"/>
      <c r="O365" s="231"/>
      <c r="P365" s="231"/>
      <c r="Q365" s="231"/>
      <c r="R365" s="231"/>
    </row>
    <row r="366" spans="1:18">
      <c r="A366" s="231"/>
      <c r="B366" s="231"/>
      <c r="C366" s="231"/>
      <c r="D366" s="231"/>
      <c r="E366" s="231"/>
      <c r="F366" s="231"/>
      <c r="G366" s="231"/>
      <c r="H366" s="231"/>
      <c r="I366" s="231"/>
      <c r="J366" s="231"/>
      <c r="K366" s="231"/>
      <c r="L366" s="231"/>
      <c r="M366" s="231"/>
      <c r="N366" s="231"/>
      <c r="O366" s="231"/>
      <c r="P366" s="231"/>
      <c r="Q366" s="231"/>
      <c r="R366" s="231"/>
    </row>
    <row r="367" spans="1:18">
      <c r="A367" s="231"/>
      <c r="B367" s="231"/>
      <c r="C367" s="231"/>
      <c r="D367" s="231"/>
      <c r="E367" s="231"/>
      <c r="F367" s="231"/>
      <c r="G367" s="231"/>
      <c r="H367" s="231"/>
      <c r="I367" s="231"/>
      <c r="J367" s="231"/>
      <c r="K367" s="231"/>
      <c r="L367" s="231"/>
      <c r="M367" s="231"/>
      <c r="N367" s="231"/>
      <c r="O367" s="231"/>
      <c r="P367" s="231"/>
      <c r="Q367" s="231"/>
      <c r="R367" s="231"/>
    </row>
    <row r="368" spans="1:18">
      <c r="A368" s="231"/>
      <c r="B368" s="231"/>
      <c r="C368" s="231"/>
      <c r="D368" s="231"/>
      <c r="E368" s="231"/>
      <c r="F368" s="231"/>
      <c r="G368" s="231"/>
      <c r="H368" s="231"/>
      <c r="I368" s="231"/>
      <c r="J368" s="231"/>
      <c r="K368" s="231"/>
      <c r="L368" s="231"/>
      <c r="M368" s="231"/>
      <c r="N368" s="231"/>
      <c r="O368" s="231"/>
      <c r="P368" s="231"/>
      <c r="Q368" s="231"/>
      <c r="R368" s="231"/>
    </row>
    <row r="369" spans="1:18">
      <c r="A369" s="231"/>
      <c r="B369" s="231"/>
      <c r="C369" s="231"/>
      <c r="D369" s="231"/>
      <c r="E369" s="231"/>
      <c r="F369" s="231"/>
      <c r="G369" s="231"/>
      <c r="H369" s="231"/>
      <c r="I369" s="231"/>
      <c r="J369" s="231"/>
      <c r="K369" s="231"/>
      <c r="L369" s="231"/>
      <c r="M369" s="231"/>
      <c r="N369" s="231"/>
      <c r="O369" s="231"/>
      <c r="P369" s="231"/>
      <c r="Q369" s="231"/>
      <c r="R369" s="231"/>
    </row>
    <row r="370" spans="1:18">
      <c r="A370" s="231"/>
      <c r="B370" s="231"/>
      <c r="C370" s="231"/>
      <c r="D370" s="231"/>
      <c r="E370" s="231"/>
      <c r="F370" s="231"/>
      <c r="G370" s="231"/>
      <c r="H370" s="231"/>
      <c r="I370" s="231"/>
      <c r="J370" s="231"/>
      <c r="K370" s="231"/>
      <c r="L370" s="231"/>
      <c r="M370" s="231"/>
      <c r="N370" s="231"/>
      <c r="O370" s="231"/>
      <c r="P370" s="231"/>
      <c r="Q370" s="231"/>
      <c r="R370" s="231"/>
    </row>
    <row r="371" spans="1:18">
      <c r="A371" s="231"/>
      <c r="B371" s="231"/>
      <c r="C371" s="231"/>
      <c r="D371" s="231"/>
      <c r="E371" s="231"/>
      <c r="F371" s="231"/>
      <c r="G371" s="231"/>
      <c r="H371" s="231"/>
      <c r="I371" s="231"/>
      <c r="J371" s="231"/>
      <c r="K371" s="231"/>
      <c r="L371" s="231"/>
      <c r="M371" s="231"/>
      <c r="N371" s="231"/>
      <c r="O371" s="231"/>
      <c r="P371" s="231"/>
      <c r="Q371" s="231"/>
      <c r="R371" s="231"/>
    </row>
    <row r="372" spans="1:18">
      <c r="A372" s="231"/>
      <c r="B372" s="231"/>
      <c r="C372" s="231"/>
      <c r="D372" s="231"/>
      <c r="E372" s="231"/>
      <c r="F372" s="231"/>
      <c r="G372" s="231"/>
      <c r="H372" s="231"/>
      <c r="I372" s="231"/>
      <c r="J372" s="231"/>
      <c r="K372" s="231"/>
      <c r="L372" s="231"/>
      <c r="M372" s="231"/>
      <c r="N372" s="231"/>
      <c r="O372" s="231"/>
      <c r="P372" s="231"/>
      <c r="Q372" s="231"/>
      <c r="R372" s="231"/>
    </row>
    <row r="373" spans="1:18">
      <c r="A373" s="231"/>
      <c r="B373" s="231"/>
      <c r="C373" s="231"/>
      <c r="D373" s="231"/>
      <c r="E373" s="231"/>
      <c r="F373" s="231"/>
      <c r="G373" s="231"/>
      <c r="H373" s="231"/>
      <c r="I373" s="231"/>
      <c r="J373" s="231"/>
      <c r="K373" s="231"/>
      <c r="L373" s="231"/>
      <c r="M373" s="231"/>
      <c r="N373" s="231"/>
      <c r="O373" s="231"/>
      <c r="P373" s="231"/>
      <c r="Q373" s="231"/>
      <c r="R373" s="231"/>
    </row>
    <row r="374" spans="1:18">
      <c r="A374" s="231"/>
      <c r="B374" s="231"/>
      <c r="C374" s="231"/>
      <c r="D374" s="231"/>
      <c r="E374" s="231"/>
      <c r="F374" s="231"/>
      <c r="G374" s="231"/>
      <c r="H374" s="231"/>
      <c r="I374" s="231"/>
      <c r="J374" s="231"/>
      <c r="K374" s="231"/>
      <c r="L374" s="231"/>
      <c r="M374" s="231"/>
      <c r="N374" s="231"/>
      <c r="O374" s="231"/>
      <c r="P374" s="231"/>
      <c r="Q374" s="231"/>
      <c r="R374" s="231"/>
    </row>
    <row r="375" spans="1:18">
      <c r="A375" s="231"/>
      <c r="B375" s="231"/>
      <c r="C375" s="231"/>
      <c r="D375" s="231"/>
      <c r="E375" s="231"/>
      <c r="F375" s="231"/>
      <c r="G375" s="231"/>
      <c r="H375" s="231"/>
      <c r="I375" s="231"/>
      <c r="J375" s="231"/>
      <c r="K375" s="231"/>
      <c r="L375" s="231"/>
      <c r="M375" s="231"/>
      <c r="N375" s="231"/>
      <c r="O375" s="231"/>
      <c r="P375" s="231"/>
      <c r="Q375" s="231"/>
      <c r="R375" s="231"/>
    </row>
    <row r="376" spans="1:18">
      <c r="A376" s="231"/>
      <c r="B376" s="231"/>
      <c r="C376" s="231"/>
      <c r="D376" s="231"/>
      <c r="E376" s="231"/>
      <c r="F376" s="231"/>
      <c r="G376" s="231"/>
      <c r="H376" s="231"/>
      <c r="I376" s="231"/>
      <c r="J376" s="231"/>
      <c r="K376" s="231"/>
      <c r="L376" s="231"/>
      <c r="M376" s="231"/>
      <c r="N376" s="231"/>
      <c r="O376" s="231"/>
      <c r="P376" s="231"/>
      <c r="Q376" s="231"/>
      <c r="R376" s="231"/>
    </row>
    <row r="377" spans="1:18">
      <c r="A377" s="231"/>
      <c r="B377" s="231"/>
      <c r="C377" s="231"/>
      <c r="D377" s="231"/>
      <c r="E377" s="231"/>
      <c r="F377" s="231"/>
      <c r="G377" s="231"/>
      <c r="H377" s="231"/>
      <c r="I377" s="231"/>
      <c r="J377" s="231"/>
      <c r="K377" s="231"/>
      <c r="L377" s="231"/>
      <c r="M377" s="231"/>
      <c r="N377" s="231"/>
      <c r="O377" s="231"/>
      <c r="P377" s="231"/>
      <c r="Q377" s="231"/>
      <c r="R377" s="231"/>
    </row>
    <row r="378" spans="1:18">
      <c r="A378" s="231"/>
      <c r="B378" s="231"/>
      <c r="C378" s="231"/>
      <c r="D378" s="231"/>
      <c r="E378" s="231"/>
      <c r="F378" s="231"/>
      <c r="G378" s="231"/>
      <c r="H378" s="231"/>
      <c r="I378" s="231"/>
      <c r="J378" s="231"/>
      <c r="K378" s="231"/>
      <c r="L378" s="231"/>
      <c r="M378" s="231"/>
      <c r="N378" s="231"/>
      <c r="O378" s="231"/>
      <c r="P378" s="231"/>
      <c r="Q378" s="231"/>
      <c r="R378" s="231"/>
    </row>
    <row r="379" spans="1:18">
      <c r="A379" s="231"/>
      <c r="B379" s="231"/>
      <c r="C379" s="231"/>
      <c r="D379" s="231"/>
      <c r="E379" s="231"/>
      <c r="F379" s="231"/>
      <c r="G379" s="231"/>
      <c r="H379" s="231"/>
      <c r="I379" s="231"/>
      <c r="J379" s="231"/>
      <c r="K379" s="231"/>
      <c r="L379" s="231"/>
      <c r="M379" s="231"/>
      <c r="N379" s="231"/>
      <c r="O379" s="231"/>
      <c r="P379" s="231"/>
      <c r="Q379" s="231"/>
      <c r="R379" s="231"/>
    </row>
    <row r="380" spans="1:18">
      <c r="A380" s="231"/>
      <c r="B380" s="231"/>
      <c r="C380" s="231"/>
      <c r="D380" s="231"/>
      <c r="E380" s="231"/>
      <c r="F380" s="231"/>
      <c r="G380" s="231"/>
      <c r="H380" s="231"/>
      <c r="I380" s="231"/>
      <c r="J380" s="231"/>
      <c r="K380" s="231"/>
      <c r="L380" s="231"/>
      <c r="M380" s="231"/>
      <c r="N380" s="231"/>
      <c r="O380" s="231"/>
      <c r="P380" s="231"/>
      <c r="Q380" s="231"/>
      <c r="R380" s="231"/>
    </row>
    <row r="381" spans="1:18">
      <c r="A381" s="231"/>
      <c r="B381" s="231"/>
      <c r="C381" s="231"/>
      <c r="D381" s="231"/>
      <c r="E381" s="231"/>
      <c r="F381" s="231"/>
      <c r="G381" s="231"/>
      <c r="H381" s="231"/>
      <c r="I381" s="231"/>
      <c r="J381" s="231"/>
      <c r="K381" s="231"/>
      <c r="L381" s="231"/>
      <c r="M381" s="231"/>
      <c r="N381" s="231"/>
      <c r="O381" s="231"/>
      <c r="P381" s="231"/>
      <c r="Q381" s="231"/>
      <c r="R381" s="231"/>
    </row>
    <row r="382" spans="1:18">
      <c r="A382" s="231"/>
      <c r="B382" s="231"/>
      <c r="C382" s="231"/>
      <c r="D382" s="231"/>
      <c r="E382" s="231"/>
      <c r="F382" s="231"/>
      <c r="G382" s="231"/>
      <c r="H382" s="231"/>
      <c r="I382" s="231"/>
      <c r="J382" s="231"/>
      <c r="K382" s="231"/>
      <c r="L382" s="231"/>
      <c r="M382" s="231"/>
      <c r="N382" s="231"/>
      <c r="O382" s="231"/>
      <c r="P382" s="231"/>
      <c r="Q382" s="231"/>
      <c r="R382" s="231"/>
    </row>
    <row r="383" spans="1:18">
      <c r="A383" s="231"/>
      <c r="B383" s="231"/>
      <c r="C383" s="231"/>
      <c r="D383" s="231"/>
      <c r="E383" s="231"/>
      <c r="F383" s="231"/>
      <c r="G383" s="231"/>
      <c r="H383" s="231"/>
      <c r="I383" s="231"/>
      <c r="J383" s="231"/>
      <c r="K383" s="231"/>
      <c r="L383" s="231"/>
      <c r="M383" s="231"/>
      <c r="N383" s="231"/>
      <c r="O383" s="231"/>
      <c r="P383" s="231"/>
      <c r="Q383" s="231"/>
      <c r="R383" s="231"/>
    </row>
    <row r="384" spans="1:18">
      <c r="A384" s="231"/>
      <c r="B384" s="231"/>
      <c r="C384" s="231"/>
      <c r="D384" s="231"/>
      <c r="E384" s="231"/>
      <c r="F384" s="231"/>
      <c r="G384" s="231"/>
      <c r="H384" s="231"/>
      <c r="I384" s="231"/>
      <c r="J384" s="231"/>
      <c r="K384" s="231"/>
      <c r="L384" s="231"/>
      <c r="M384" s="231"/>
      <c r="N384" s="231"/>
      <c r="O384" s="231"/>
      <c r="P384" s="231"/>
      <c r="Q384" s="231"/>
      <c r="R384" s="231"/>
    </row>
    <row r="385" spans="1:18">
      <c r="A385" s="231"/>
      <c r="B385" s="231"/>
      <c r="C385" s="231"/>
      <c r="D385" s="231"/>
      <c r="E385" s="231"/>
      <c r="F385" s="231"/>
      <c r="G385" s="231"/>
      <c r="H385" s="231"/>
      <c r="I385" s="231"/>
      <c r="J385" s="231"/>
      <c r="K385" s="231"/>
      <c r="L385" s="231"/>
      <c r="M385" s="231"/>
      <c r="N385" s="231"/>
      <c r="O385" s="231"/>
      <c r="P385" s="231"/>
      <c r="Q385" s="231"/>
      <c r="R385" s="231"/>
    </row>
    <row r="386" spans="1:18">
      <c r="A386" s="231"/>
      <c r="B386" s="231"/>
      <c r="C386" s="231"/>
      <c r="D386" s="231"/>
      <c r="E386" s="231"/>
      <c r="F386" s="231"/>
      <c r="G386" s="231"/>
      <c r="H386" s="231"/>
      <c r="I386" s="231"/>
      <c r="J386" s="231"/>
      <c r="K386" s="231"/>
      <c r="L386" s="231"/>
      <c r="M386" s="231"/>
      <c r="N386" s="231"/>
      <c r="O386" s="231"/>
      <c r="P386" s="231"/>
      <c r="Q386" s="231"/>
      <c r="R386" s="231"/>
    </row>
    <row r="387" spans="1:18">
      <c r="A387" s="231"/>
      <c r="B387" s="231"/>
      <c r="C387" s="231"/>
      <c r="D387" s="231"/>
      <c r="E387" s="231"/>
      <c r="F387" s="231"/>
      <c r="G387" s="231"/>
      <c r="H387" s="231"/>
      <c r="I387" s="231"/>
      <c r="J387" s="231"/>
      <c r="K387" s="231"/>
      <c r="L387" s="231"/>
      <c r="M387" s="231"/>
      <c r="N387" s="231"/>
      <c r="O387" s="231"/>
      <c r="P387" s="231"/>
      <c r="Q387" s="231"/>
      <c r="R387" s="231"/>
    </row>
    <row r="388" spans="1:18">
      <c r="A388" s="231"/>
      <c r="B388" s="231"/>
      <c r="C388" s="231"/>
      <c r="D388" s="231"/>
      <c r="E388" s="231"/>
      <c r="F388" s="231"/>
      <c r="G388" s="231"/>
      <c r="H388" s="231"/>
      <c r="I388" s="231"/>
      <c r="J388" s="231"/>
      <c r="K388" s="231"/>
      <c r="L388" s="231"/>
      <c r="M388" s="231"/>
      <c r="N388" s="231"/>
      <c r="O388" s="231"/>
      <c r="P388" s="231"/>
      <c r="Q388" s="231"/>
      <c r="R388" s="231"/>
    </row>
    <row r="389" spans="1:18">
      <c r="A389" s="231"/>
      <c r="B389" s="231"/>
      <c r="C389" s="231"/>
      <c r="D389" s="231"/>
      <c r="E389" s="231"/>
      <c r="F389" s="231"/>
      <c r="G389" s="231"/>
      <c r="H389" s="231"/>
      <c r="I389" s="231"/>
      <c r="J389" s="231"/>
      <c r="K389" s="231"/>
      <c r="L389" s="231"/>
      <c r="M389" s="231"/>
      <c r="N389" s="231"/>
      <c r="O389" s="231"/>
      <c r="P389" s="231"/>
      <c r="Q389" s="231"/>
      <c r="R389" s="231"/>
    </row>
    <row r="390" spans="1:18">
      <c r="A390" s="231"/>
      <c r="B390" s="231"/>
      <c r="C390" s="231"/>
      <c r="D390" s="231"/>
      <c r="E390" s="231"/>
      <c r="F390" s="231"/>
      <c r="G390" s="231"/>
      <c r="H390" s="231"/>
      <c r="I390" s="231"/>
      <c r="J390" s="231"/>
      <c r="K390" s="231"/>
      <c r="L390" s="231"/>
      <c r="M390" s="231"/>
      <c r="N390" s="231"/>
      <c r="O390" s="231"/>
      <c r="P390" s="231"/>
      <c r="Q390" s="231"/>
      <c r="R390" s="231"/>
    </row>
    <row r="391" spans="1:18">
      <c r="A391" s="231"/>
      <c r="B391" s="231"/>
      <c r="C391" s="231"/>
      <c r="D391" s="231"/>
      <c r="E391" s="231"/>
      <c r="F391" s="231"/>
      <c r="G391" s="231"/>
      <c r="H391" s="231"/>
      <c r="I391" s="231"/>
      <c r="J391" s="231"/>
      <c r="K391" s="231"/>
      <c r="L391" s="231"/>
      <c r="M391" s="231"/>
      <c r="N391" s="231"/>
      <c r="O391" s="231"/>
      <c r="P391" s="231"/>
      <c r="Q391" s="231"/>
      <c r="R391" s="231"/>
    </row>
    <row r="392" spans="1:18">
      <c r="A392" s="231"/>
      <c r="B392" s="231"/>
      <c r="C392" s="231"/>
      <c r="D392" s="231"/>
      <c r="E392" s="231"/>
      <c r="F392" s="231"/>
      <c r="G392" s="231"/>
      <c r="H392" s="231"/>
      <c r="I392" s="231"/>
      <c r="J392" s="231"/>
      <c r="K392" s="231"/>
      <c r="L392" s="231"/>
      <c r="M392" s="231"/>
      <c r="N392" s="231"/>
      <c r="O392" s="231"/>
      <c r="P392" s="231"/>
      <c r="Q392" s="231"/>
      <c r="R392" s="231"/>
    </row>
    <row r="393" spans="1:18">
      <c r="A393" s="231"/>
      <c r="B393" s="231"/>
      <c r="C393" s="231"/>
      <c r="D393" s="231"/>
      <c r="E393" s="231"/>
      <c r="F393" s="231"/>
      <c r="G393" s="231"/>
      <c r="H393" s="231"/>
      <c r="I393" s="231"/>
      <c r="J393" s="231"/>
      <c r="K393" s="231"/>
      <c r="L393" s="231"/>
      <c r="M393" s="231"/>
      <c r="N393" s="231"/>
      <c r="O393" s="231"/>
      <c r="P393" s="231"/>
      <c r="Q393" s="231"/>
      <c r="R393" s="231"/>
    </row>
    <row r="394" spans="1:18">
      <c r="A394" s="231"/>
      <c r="B394" s="231"/>
      <c r="C394" s="231"/>
      <c r="D394" s="231"/>
      <c r="E394" s="231"/>
      <c r="F394" s="231"/>
      <c r="G394" s="231"/>
      <c r="H394" s="231"/>
      <c r="I394" s="231"/>
      <c r="J394" s="231"/>
      <c r="K394" s="231"/>
      <c r="L394" s="231"/>
      <c r="M394" s="231"/>
      <c r="N394" s="231"/>
      <c r="O394" s="231"/>
      <c r="P394" s="231"/>
      <c r="Q394" s="231"/>
      <c r="R394" s="231"/>
    </row>
    <row r="395" spans="1:18">
      <c r="A395" s="231"/>
      <c r="B395" s="231"/>
      <c r="C395" s="231"/>
      <c r="D395" s="231"/>
      <c r="E395" s="231"/>
      <c r="F395" s="231"/>
      <c r="G395" s="231"/>
      <c r="H395" s="231"/>
      <c r="I395" s="231"/>
      <c r="J395" s="231"/>
      <c r="K395" s="231"/>
      <c r="L395" s="231"/>
      <c r="M395" s="231"/>
      <c r="N395" s="231"/>
      <c r="O395" s="231"/>
      <c r="P395" s="231"/>
      <c r="Q395" s="231"/>
      <c r="R395" s="231"/>
    </row>
    <row r="396" spans="1:18">
      <c r="A396" s="231"/>
      <c r="B396" s="231"/>
      <c r="C396" s="231"/>
      <c r="D396" s="231"/>
      <c r="E396" s="231"/>
      <c r="F396" s="231"/>
      <c r="G396" s="231"/>
      <c r="H396" s="231"/>
      <c r="I396" s="231"/>
      <c r="J396" s="231"/>
      <c r="K396" s="231"/>
      <c r="L396" s="231"/>
      <c r="M396" s="231"/>
      <c r="N396" s="231"/>
      <c r="O396" s="231"/>
      <c r="P396" s="231"/>
      <c r="Q396" s="231"/>
      <c r="R396" s="231"/>
    </row>
    <row r="397" spans="1:18">
      <c r="A397" s="231"/>
      <c r="B397" s="231"/>
      <c r="C397" s="231"/>
      <c r="D397" s="231"/>
      <c r="E397" s="231"/>
      <c r="F397" s="231"/>
      <c r="G397" s="231"/>
      <c r="H397" s="231"/>
      <c r="I397" s="231"/>
      <c r="J397" s="231"/>
      <c r="K397" s="231"/>
      <c r="L397" s="231"/>
      <c r="M397" s="231"/>
      <c r="N397" s="231"/>
      <c r="O397" s="231"/>
      <c r="P397" s="231"/>
      <c r="Q397" s="231"/>
      <c r="R397" s="231"/>
    </row>
    <row r="398" spans="1:18">
      <c r="A398" s="231"/>
      <c r="B398" s="231"/>
      <c r="C398" s="231"/>
      <c r="D398" s="231"/>
      <c r="E398" s="231"/>
      <c r="F398" s="231"/>
      <c r="G398" s="231"/>
      <c r="H398" s="231"/>
      <c r="I398" s="231"/>
      <c r="J398" s="231"/>
      <c r="K398" s="231"/>
      <c r="L398" s="231"/>
      <c r="M398" s="231"/>
      <c r="N398" s="231"/>
      <c r="O398" s="231"/>
      <c r="P398" s="231"/>
      <c r="Q398" s="231"/>
      <c r="R398" s="231"/>
    </row>
    <row r="399" spans="1:18">
      <c r="A399" s="231"/>
      <c r="B399" s="231"/>
      <c r="C399" s="231"/>
      <c r="D399" s="231"/>
      <c r="E399" s="231"/>
      <c r="F399" s="231"/>
      <c r="G399" s="231"/>
      <c r="H399" s="231"/>
      <c r="I399" s="231"/>
      <c r="J399" s="231"/>
      <c r="K399" s="231"/>
      <c r="L399" s="231"/>
      <c r="M399" s="231"/>
      <c r="N399" s="231"/>
      <c r="O399" s="231"/>
      <c r="P399" s="231"/>
      <c r="Q399" s="231"/>
      <c r="R399" s="231"/>
    </row>
    <row r="400" spans="1:18">
      <c r="A400" s="231"/>
      <c r="B400" s="231"/>
      <c r="C400" s="231"/>
      <c r="D400" s="231"/>
      <c r="E400" s="231"/>
      <c r="F400" s="231"/>
      <c r="G400" s="231"/>
      <c r="H400" s="231"/>
      <c r="I400" s="231"/>
      <c r="J400" s="231"/>
      <c r="K400" s="231"/>
      <c r="L400" s="231"/>
      <c r="M400" s="231"/>
      <c r="N400" s="231"/>
      <c r="O400" s="231"/>
      <c r="P400" s="231"/>
      <c r="Q400" s="231"/>
      <c r="R400" s="231"/>
    </row>
    <row r="401" spans="1:18">
      <c r="A401" s="231"/>
      <c r="B401" s="231"/>
      <c r="C401" s="231"/>
      <c r="D401" s="231"/>
      <c r="E401" s="231"/>
      <c r="F401" s="231"/>
      <c r="G401" s="231"/>
      <c r="H401" s="231"/>
      <c r="I401" s="231"/>
      <c r="J401" s="231"/>
      <c r="K401" s="231"/>
      <c r="L401" s="231"/>
      <c r="M401" s="231"/>
      <c r="N401" s="231"/>
      <c r="O401" s="231"/>
      <c r="P401" s="231"/>
      <c r="Q401" s="231"/>
      <c r="R401" s="231"/>
    </row>
    <row r="402" spans="1:18">
      <c r="A402" s="231"/>
      <c r="B402" s="231"/>
      <c r="C402" s="231"/>
      <c r="D402" s="231"/>
      <c r="E402" s="231"/>
      <c r="F402" s="231"/>
      <c r="G402" s="231"/>
      <c r="H402" s="231"/>
      <c r="I402" s="231"/>
      <c r="J402" s="231"/>
      <c r="K402" s="231"/>
      <c r="L402" s="231"/>
      <c r="M402" s="231"/>
      <c r="N402" s="231"/>
      <c r="O402" s="231"/>
      <c r="P402" s="231"/>
      <c r="Q402" s="231"/>
      <c r="R402" s="231"/>
    </row>
    <row r="403" spans="1:18">
      <c r="A403" s="231"/>
      <c r="B403" s="231"/>
      <c r="C403" s="231"/>
      <c r="D403" s="231"/>
      <c r="E403" s="231"/>
      <c r="F403" s="231"/>
      <c r="G403" s="231"/>
      <c r="H403" s="231"/>
      <c r="I403" s="231"/>
      <c r="J403" s="231"/>
      <c r="K403" s="231"/>
      <c r="L403" s="231"/>
      <c r="M403" s="231"/>
      <c r="N403" s="231"/>
      <c r="O403" s="231"/>
      <c r="P403" s="231"/>
      <c r="Q403" s="231"/>
      <c r="R403" s="231"/>
    </row>
    <row r="404" spans="1:18">
      <c r="A404" s="231"/>
      <c r="B404" s="231"/>
      <c r="C404" s="231"/>
      <c r="D404" s="231"/>
      <c r="E404" s="231"/>
      <c r="F404" s="231"/>
      <c r="G404" s="231"/>
      <c r="H404" s="231"/>
      <c r="I404" s="231"/>
      <c r="J404" s="231"/>
      <c r="K404" s="231"/>
      <c r="L404" s="231"/>
      <c r="M404" s="231"/>
      <c r="N404" s="231"/>
      <c r="O404" s="231"/>
      <c r="P404" s="231"/>
      <c r="Q404" s="231"/>
      <c r="R404" s="231"/>
    </row>
    <row r="405" spans="1:18">
      <c r="A405" s="231"/>
      <c r="B405" s="231"/>
      <c r="C405" s="231"/>
      <c r="D405" s="231"/>
      <c r="E405" s="231"/>
      <c r="F405" s="231"/>
      <c r="G405" s="231"/>
      <c r="H405" s="231"/>
      <c r="I405" s="231"/>
      <c r="J405" s="231"/>
      <c r="K405" s="231"/>
      <c r="L405" s="231"/>
      <c r="M405" s="231"/>
      <c r="N405" s="231"/>
      <c r="O405" s="231"/>
      <c r="P405" s="231"/>
      <c r="Q405" s="231"/>
      <c r="R405" s="231"/>
    </row>
    <row r="406" spans="1:18">
      <c r="A406" s="231"/>
      <c r="B406" s="231"/>
      <c r="C406" s="231"/>
      <c r="D406" s="231"/>
      <c r="E406" s="231"/>
      <c r="F406" s="231"/>
      <c r="G406" s="231"/>
      <c r="H406" s="231"/>
      <c r="I406" s="231"/>
      <c r="J406" s="231"/>
      <c r="K406" s="231"/>
      <c r="L406" s="231"/>
      <c r="M406" s="231"/>
      <c r="N406" s="231"/>
      <c r="O406" s="231"/>
      <c r="P406" s="231"/>
      <c r="Q406" s="231"/>
      <c r="R406" s="231"/>
    </row>
    <row r="407" spans="1:18">
      <c r="A407" s="231"/>
      <c r="B407" s="231"/>
      <c r="C407" s="231"/>
      <c r="D407" s="231"/>
      <c r="E407" s="231"/>
      <c r="F407" s="231"/>
      <c r="G407" s="231"/>
      <c r="H407" s="231"/>
      <c r="I407" s="231"/>
      <c r="J407" s="231"/>
      <c r="K407" s="231"/>
      <c r="L407" s="231"/>
      <c r="M407" s="231"/>
      <c r="N407" s="231"/>
      <c r="O407" s="231"/>
      <c r="P407" s="231"/>
      <c r="Q407" s="231"/>
      <c r="R407" s="231"/>
    </row>
    <row r="408" spans="1:18">
      <c r="A408" s="231"/>
      <c r="B408" s="231"/>
      <c r="C408" s="231"/>
      <c r="D408" s="231"/>
      <c r="E408" s="231"/>
      <c r="F408" s="231"/>
      <c r="G408" s="231"/>
      <c r="H408" s="231"/>
      <c r="I408" s="231"/>
      <c r="J408" s="231"/>
      <c r="K408" s="231"/>
      <c r="L408" s="231"/>
      <c r="M408" s="231"/>
      <c r="N408" s="231"/>
      <c r="O408" s="231"/>
      <c r="P408" s="231"/>
      <c r="Q408" s="231"/>
      <c r="R408" s="231"/>
    </row>
    <row r="409" spans="1:18">
      <c r="A409" s="231"/>
      <c r="B409" s="231"/>
      <c r="C409" s="231"/>
      <c r="D409" s="231"/>
      <c r="E409" s="231"/>
      <c r="F409" s="231"/>
      <c r="G409" s="231"/>
      <c r="H409" s="231"/>
      <c r="I409" s="231"/>
      <c r="J409" s="231"/>
      <c r="K409" s="231"/>
      <c r="L409" s="231"/>
      <c r="M409" s="231"/>
      <c r="N409" s="231"/>
      <c r="O409" s="231"/>
      <c r="P409" s="231"/>
      <c r="Q409" s="231"/>
      <c r="R409" s="231"/>
    </row>
    <row r="410" spans="1:18">
      <c r="A410" s="231"/>
      <c r="B410" s="231"/>
      <c r="C410" s="231"/>
      <c r="D410" s="231"/>
      <c r="E410" s="231"/>
      <c r="F410" s="231"/>
      <c r="G410" s="231"/>
      <c r="H410" s="231"/>
      <c r="I410" s="231"/>
      <c r="J410" s="231"/>
      <c r="K410" s="231"/>
      <c r="L410" s="231"/>
      <c r="M410" s="231"/>
      <c r="N410" s="231"/>
      <c r="O410" s="231"/>
      <c r="P410" s="231"/>
      <c r="Q410" s="231"/>
      <c r="R410" s="231"/>
    </row>
    <row r="411" spans="1:18">
      <c r="A411" s="231"/>
      <c r="B411" s="231"/>
      <c r="C411" s="231"/>
      <c r="D411" s="231"/>
      <c r="E411" s="231"/>
      <c r="F411" s="231"/>
      <c r="G411" s="231"/>
      <c r="H411" s="231"/>
      <c r="I411" s="231"/>
      <c r="J411" s="231"/>
      <c r="K411" s="231"/>
      <c r="L411" s="231"/>
      <c r="M411" s="231"/>
      <c r="N411" s="231"/>
      <c r="O411" s="231"/>
      <c r="P411" s="231"/>
      <c r="Q411" s="231"/>
      <c r="R411" s="231"/>
    </row>
    <row r="412" spans="1:18">
      <c r="A412" s="231"/>
      <c r="B412" s="231"/>
      <c r="C412" s="231"/>
      <c r="D412" s="231"/>
      <c r="E412" s="231"/>
      <c r="F412" s="231"/>
      <c r="G412" s="231"/>
      <c r="H412" s="231"/>
      <c r="I412" s="231"/>
      <c r="J412" s="231"/>
      <c r="K412" s="231"/>
      <c r="L412" s="231"/>
      <c r="M412" s="231"/>
      <c r="N412" s="231"/>
      <c r="O412" s="231"/>
      <c r="P412" s="231"/>
      <c r="Q412" s="231"/>
      <c r="R412" s="231"/>
    </row>
    <row r="413" spans="1:18">
      <c r="A413" s="231"/>
      <c r="B413" s="231"/>
      <c r="C413" s="231"/>
      <c r="D413" s="231"/>
      <c r="E413" s="231"/>
      <c r="F413" s="231"/>
      <c r="G413" s="231"/>
      <c r="H413" s="231"/>
      <c r="I413" s="231"/>
      <c r="J413" s="231"/>
      <c r="K413" s="231"/>
      <c r="L413" s="231"/>
      <c r="M413" s="231"/>
      <c r="N413" s="231"/>
      <c r="O413" s="231"/>
      <c r="P413" s="231"/>
      <c r="Q413" s="231"/>
      <c r="R413" s="231"/>
    </row>
    <row r="414" spans="1:18">
      <c r="A414" s="231"/>
      <c r="B414" s="231"/>
      <c r="C414" s="231"/>
      <c r="D414" s="231"/>
      <c r="E414" s="231"/>
      <c r="F414" s="231"/>
      <c r="G414" s="231"/>
      <c r="H414" s="231"/>
      <c r="I414" s="231"/>
      <c r="J414" s="231"/>
      <c r="K414" s="231"/>
      <c r="L414" s="231"/>
      <c r="M414" s="231"/>
      <c r="N414" s="231"/>
      <c r="O414" s="231"/>
      <c r="P414" s="231"/>
      <c r="Q414" s="231"/>
      <c r="R414" s="231"/>
    </row>
    <row r="415" spans="1:18">
      <c r="A415" s="231"/>
      <c r="B415" s="231"/>
      <c r="C415" s="231"/>
      <c r="D415" s="231"/>
      <c r="E415" s="231"/>
      <c r="F415" s="231"/>
      <c r="G415" s="231"/>
      <c r="H415" s="231"/>
      <c r="I415" s="231"/>
      <c r="J415" s="231"/>
      <c r="K415" s="231"/>
      <c r="L415" s="231"/>
      <c r="M415" s="231"/>
      <c r="N415" s="231"/>
      <c r="O415" s="231"/>
      <c r="P415" s="231"/>
      <c r="Q415" s="231"/>
      <c r="R415" s="231"/>
    </row>
    <row r="416" spans="1:18">
      <c r="A416" s="231"/>
      <c r="B416" s="231"/>
      <c r="C416" s="231"/>
      <c r="D416" s="231"/>
      <c r="E416" s="231"/>
      <c r="F416" s="231"/>
      <c r="G416" s="231"/>
      <c r="H416" s="231"/>
      <c r="I416" s="231"/>
      <c r="J416" s="231"/>
      <c r="K416" s="231"/>
      <c r="L416" s="231"/>
      <c r="M416" s="231"/>
      <c r="N416" s="231"/>
      <c r="O416" s="231"/>
      <c r="P416" s="231"/>
      <c r="Q416" s="231"/>
      <c r="R416" s="231"/>
    </row>
    <row r="417" spans="1:18">
      <c r="A417" s="231"/>
      <c r="B417" s="231"/>
      <c r="C417" s="231"/>
      <c r="D417" s="231"/>
      <c r="E417" s="231"/>
      <c r="F417" s="231"/>
      <c r="G417" s="231"/>
      <c r="H417" s="231"/>
      <c r="I417" s="231"/>
      <c r="J417" s="231"/>
      <c r="K417" s="231"/>
      <c r="L417" s="231"/>
      <c r="M417" s="231"/>
      <c r="N417" s="231"/>
      <c r="O417" s="231"/>
      <c r="P417" s="231"/>
      <c r="Q417" s="231"/>
      <c r="R417" s="231"/>
    </row>
    <row r="418" spans="1:18">
      <c r="A418" s="231"/>
      <c r="B418" s="231"/>
      <c r="C418" s="231"/>
      <c r="D418" s="231"/>
      <c r="E418" s="231"/>
      <c r="F418" s="231"/>
      <c r="G418" s="231"/>
      <c r="H418" s="231"/>
      <c r="I418" s="231"/>
      <c r="J418" s="231"/>
      <c r="K418" s="231"/>
      <c r="L418" s="231"/>
      <c r="M418" s="231"/>
      <c r="N418" s="231"/>
      <c r="O418" s="231"/>
      <c r="P418" s="231"/>
      <c r="Q418" s="231"/>
      <c r="R418" s="231"/>
    </row>
    <row r="419" spans="1:18">
      <c r="A419" s="231"/>
      <c r="B419" s="231"/>
      <c r="C419" s="231"/>
      <c r="D419" s="231"/>
      <c r="E419" s="231"/>
      <c r="F419" s="231"/>
      <c r="G419" s="231"/>
      <c r="H419" s="231"/>
      <c r="I419" s="231"/>
      <c r="J419" s="231"/>
      <c r="K419" s="231"/>
      <c r="L419" s="231"/>
      <c r="M419" s="231"/>
      <c r="N419" s="231"/>
      <c r="O419" s="231"/>
      <c r="P419" s="231"/>
      <c r="Q419" s="231"/>
      <c r="R419" s="231"/>
    </row>
    <row r="420" spans="1:18">
      <c r="A420" s="231"/>
      <c r="B420" s="231"/>
      <c r="C420" s="231"/>
      <c r="D420" s="231"/>
      <c r="E420" s="231"/>
      <c r="F420" s="231"/>
      <c r="G420" s="231"/>
      <c r="H420" s="231"/>
      <c r="I420" s="231"/>
      <c r="J420" s="231"/>
      <c r="K420" s="231"/>
      <c r="L420" s="231"/>
      <c r="M420" s="231"/>
      <c r="N420" s="231"/>
      <c r="O420" s="231"/>
      <c r="P420" s="231"/>
      <c r="Q420" s="231"/>
      <c r="R420" s="231"/>
    </row>
    <row r="421" spans="1:18">
      <c r="A421" s="231"/>
      <c r="B421" s="231"/>
      <c r="C421" s="231"/>
      <c r="D421" s="231"/>
      <c r="E421" s="231"/>
      <c r="F421" s="231"/>
      <c r="G421" s="231"/>
      <c r="H421" s="231"/>
      <c r="I421" s="231"/>
      <c r="J421" s="231"/>
      <c r="K421" s="231"/>
      <c r="L421" s="231"/>
      <c r="M421" s="231"/>
      <c r="N421" s="231"/>
      <c r="O421" s="231"/>
      <c r="P421" s="231"/>
      <c r="Q421" s="231"/>
      <c r="R421" s="231"/>
    </row>
    <row r="422" spans="1:18">
      <c r="A422" s="231"/>
      <c r="B422" s="231"/>
      <c r="C422" s="231"/>
      <c r="D422" s="231"/>
      <c r="E422" s="231"/>
      <c r="F422" s="231"/>
      <c r="G422" s="231"/>
      <c r="H422" s="231"/>
      <c r="I422" s="231"/>
      <c r="J422" s="231"/>
      <c r="K422" s="231"/>
      <c r="L422" s="231"/>
      <c r="M422" s="231"/>
      <c r="N422" s="231"/>
      <c r="O422" s="231"/>
      <c r="P422" s="231"/>
      <c r="Q422" s="231"/>
      <c r="R422" s="231"/>
    </row>
    <row r="423" spans="1:18">
      <c r="A423" s="231"/>
      <c r="B423" s="231"/>
      <c r="C423" s="231"/>
      <c r="D423" s="231"/>
      <c r="E423" s="231"/>
      <c r="F423" s="231"/>
      <c r="G423" s="231"/>
      <c r="H423" s="231"/>
      <c r="I423" s="231"/>
      <c r="J423" s="231"/>
      <c r="K423" s="231"/>
      <c r="L423" s="231"/>
      <c r="M423" s="231"/>
      <c r="N423" s="231"/>
      <c r="O423" s="231"/>
      <c r="P423" s="231"/>
      <c r="Q423" s="231"/>
      <c r="R423" s="231"/>
    </row>
    <row r="424" spans="1:18">
      <c r="A424" s="231"/>
      <c r="B424" s="231"/>
      <c r="C424" s="231"/>
      <c r="D424" s="231"/>
      <c r="E424" s="231"/>
      <c r="F424" s="231"/>
      <c r="G424" s="231"/>
      <c r="H424" s="231"/>
      <c r="I424" s="231"/>
      <c r="J424" s="231"/>
      <c r="K424" s="231"/>
      <c r="L424" s="231"/>
      <c r="M424" s="231"/>
      <c r="N424" s="231"/>
      <c r="O424" s="231"/>
      <c r="P424" s="231"/>
      <c r="Q424" s="231"/>
      <c r="R424" s="231"/>
    </row>
    <row r="425" spans="1:18">
      <c r="A425" s="231"/>
      <c r="B425" s="231"/>
      <c r="C425" s="231"/>
      <c r="D425" s="231"/>
      <c r="E425" s="231"/>
      <c r="F425" s="231"/>
      <c r="G425" s="231"/>
      <c r="H425" s="231"/>
      <c r="I425" s="231"/>
      <c r="J425" s="231"/>
      <c r="K425" s="231"/>
      <c r="L425" s="231"/>
      <c r="M425" s="231"/>
      <c r="N425" s="231"/>
      <c r="O425" s="231"/>
      <c r="P425" s="231"/>
      <c r="Q425" s="231"/>
      <c r="R425" s="231"/>
    </row>
    <row r="426" spans="1:18">
      <c r="A426" s="231"/>
      <c r="B426" s="231"/>
      <c r="C426" s="231"/>
      <c r="D426" s="231"/>
      <c r="E426" s="231"/>
      <c r="F426" s="231"/>
      <c r="G426" s="231"/>
      <c r="H426" s="231"/>
      <c r="I426" s="231"/>
      <c r="J426" s="231"/>
      <c r="K426" s="231"/>
      <c r="L426" s="231"/>
      <c r="M426" s="231"/>
      <c r="N426" s="231"/>
      <c r="O426" s="231"/>
      <c r="P426" s="231"/>
      <c r="Q426" s="231"/>
      <c r="R426" s="231"/>
    </row>
    <row r="427" spans="1:18">
      <c r="A427" s="231"/>
      <c r="B427" s="231"/>
      <c r="C427" s="231"/>
      <c r="D427" s="231"/>
      <c r="E427" s="231"/>
      <c r="F427" s="231"/>
      <c r="G427" s="231"/>
      <c r="H427" s="231"/>
      <c r="I427" s="231"/>
      <c r="J427" s="231"/>
      <c r="K427" s="231"/>
      <c r="L427" s="231"/>
      <c r="M427" s="231"/>
      <c r="N427" s="231"/>
      <c r="O427" s="231"/>
      <c r="P427" s="231"/>
      <c r="Q427" s="231"/>
      <c r="R427" s="231"/>
    </row>
    <row r="428" spans="1:18">
      <c r="A428" s="231"/>
      <c r="B428" s="231"/>
      <c r="C428" s="231"/>
      <c r="D428" s="231"/>
      <c r="E428" s="231"/>
      <c r="F428" s="231"/>
      <c r="G428" s="231"/>
      <c r="H428" s="231"/>
      <c r="I428" s="231"/>
      <c r="J428" s="231"/>
      <c r="K428" s="231"/>
      <c r="L428" s="231"/>
      <c r="M428" s="231"/>
      <c r="N428" s="231"/>
      <c r="O428" s="231"/>
      <c r="P428" s="231"/>
      <c r="Q428" s="231"/>
      <c r="R428" s="231"/>
    </row>
    <row r="429" spans="1:18">
      <c r="A429" s="231"/>
      <c r="B429" s="231"/>
      <c r="C429" s="231"/>
      <c r="D429" s="231"/>
      <c r="E429" s="231"/>
      <c r="F429" s="231"/>
      <c r="G429" s="231"/>
      <c r="H429" s="231"/>
      <c r="I429" s="231"/>
      <c r="J429" s="231"/>
      <c r="K429" s="231"/>
      <c r="L429" s="231"/>
      <c r="M429" s="231"/>
      <c r="N429" s="231"/>
      <c r="O429" s="231"/>
      <c r="P429" s="231"/>
      <c r="Q429" s="231"/>
      <c r="R429" s="231"/>
    </row>
    <row r="430" spans="1:18">
      <c r="A430" s="231"/>
      <c r="B430" s="231"/>
      <c r="C430" s="231"/>
      <c r="D430" s="231"/>
      <c r="E430" s="231"/>
      <c r="F430" s="231"/>
      <c r="G430" s="231"/>
      <c r="H430" s="231"/>
      <c r="I430" s="231"/>
      <c r="J430" s="231"/>
      <c r="K430" s="231"/>
      <c r="L430" s="231"/>
      <c r="M430" s="231"/>
      <c r="N430" s="231"/>
      <c r="O430" s="231"/>
      <c r="P430" s="231"/>
      <c r="Q430" s="231"/>
      <c r="R430" s="231"/>
    </row>
    <row r="431" spans="1:18">
      <c r="A431" s="231"/>
      <c r="B431" s="231"/>
      <c r="C431" s="231"/>
      <c r="D431" s="231"/>
      <c r="E431" s="231"/>
      <c r="F431" s="231"/>
      <c r="G431" s="231"/>
      <c r="H431" s="231"/>
      <c r="I431" s="231"/>
      <c r="J431" s="231"/>
      <c r="K431" s="231"/>
      <c r="L431" s="231"/>
      <c r="M431" s="231"/>
      <c r="N431" s="231"/>
      <c r="O431" s="231"/>
      <c r="P431" s="231"/>
      <c r="Q431" s="231"/>
      <c r="R431" s="231"/>
    </row>
    <row r="432" spans="1:18">
      <c r="A432" s="231"/>
      <c r="B432" s="231"/>
      <c r="C432" s="231"/>
      <c r="D432" s="231"/>
      <c r="E432" s="231"/>
      <c r="F432" s="231"/>
      <c r="G432" s="231"/>
      <c r="H432" s="231"/>
      <c r="I432" s="231"/>
      <c r="J432" s="231"/>
      <c r="K432" s="231"/>
      <c r="L432" s="231"/>
      <c r="M432" s="231"/>
      <c r="N432" s="231"/>
      <c r="O432" s="231"/>
      <c r="P432" s="231"/>
      <c r="Q432" s="231"/>
      <c r="R432" s="231"/>
    </row>
    <row r="433" spans="1:18">
      <c r="A433" s="231"/>
      <c r="B433" s="231"/>
      <c r="C433" s="231"/>
      <c r="D433" s="231"/>
      <c r="E433" s="231"/>
      <c r="F433" s="231"/>
      <c r="G433" s="231"/>
      <c r="H433" s="231"/>
      <c r="I433" s="231"/>
      <c r="J433" s="231"/>
      <c r="K433" s="231"/>
      <c r="L433" s="231"/>
      <c r="M433" s="231"/>
      <c r="N433" s="231"/>
      <c r="O433" s="231"/>
      <c r="P433" s="231"/>
      <c r="Q433" s="231"/>
      <c r="R433" s="231"/>
    </row>
    <row r="434" spans="1:18">
      <c r="A434" s="231"/>
      <c r="B434" s="231"/>
      <c r="C434" s="231"/>
      <c r="D434" s="231"/>
      <c r="E434" s="231"/>
      <c r="F434" s="231"/>
      <c r="G434" s="231"/>
      <c r="H434" s="231"/>
      <c r="I434" s="231"/>
      <c r="J434" s="231"/>
      <c r="K434" s="231"/>
      <c r="L434" s="231"/>
      <c r="M434" s="231"/>
      <c r="N434" s="231"/>
      <c r="O434" s="231"/>
      <c r="P434" s="231"/>
      <c r="Q434" s="231"/>
      <c r="R434" s="231"/>
    </row>
    <row r="435" spans="1:18">
      <c r="A435" s="231"/>
      <c r="B435" s="231"/>
      <c r="C435" s="231"/>
      <c r="D435" s="231"/>
      <c r="E435" s="231"/>
      <c r="F435" s="231"/>
      <c r="G435" s="231"/>
      <c r="H435" s="231"/>
      <c r="I435" s="231"/>
      <c r="J435" s="231"/>
      <c r="K435" s="231"/>
      <c r="L435" s="231"/>
      <c r="M435" s="231"/>
      <c r="N435" s="231"/>
      <c r="O435" s="231"/>
      <c r="P435" s="231"/>
      <c r="Q435" s="231"/>
      <c r="R435" s="231"/>
    </row>
    <row r="436" spans="1:18">
      <c r="A436" s="231"/>
      <c r="B436" s="231"/>
      <c r="C436" s="231"/>
      <c r="D436" s="231"/>
      <c r="E436" s="231"/>
      <c r="F436" s="231"/>
      <c r="G436" s="231"/>
      <c r="H436" s="231"/>
      <c r="I436" s="231"/>
      <c r="J436" s="231"/>
      <c r="K436" s="231"/>
      <c r="L436" s="231"/>
      <c r="M436" s="231"/>
      <c r="N436" s="231"/>
      <c r="O436" s="231"/>
      <c r="P436" s="231"/>
      <c r="Q436" s="231"/>
      <c r="R436" s="231"/>
    </row>
    <row r="437" spans="1:18">
      <c r="A437" s="231"/>
      <c r="B437" s="231"/>
      <c r="C437" s="231"/>
      <c r="D437" s="231"/>
      <c r="E437" s="231"/>
      <c r="F437" s="231"/>
      <c r="G437" s="231"/>
      <c r="H437" s="231"/>
      <c r="I437" s="231"/>
      <c r="J437" s="231"/>
      <c r="K437" s="231"/>
      <c r="L437" s="231"/>
      <c r="M437" s="231"/>
      <c r="N437" s="231"/>
      <c r="O437" s="231"/>
      <c r="P437" s="231"/>
      <c r="Q437" s="231"/>
      <c r="R437" s="231"/>
    </row>
    <row r="438" spans="1:18">
      <c r="A438" s="231"/>
      <c r="B438" s="231"/>
      <c r="C438" s="231"/>
      <c r="D438" s="231"/>
      <c r="E438" s="231"/>
      <c r="F438" s="231"/>
      <c r="G438" s="231"/>
      <c r="H438" s="231"/>
      <c r="I438" s="231"/>
      <c r="J438" s="231"/>
      <c r="K438" s="231"/>
      <c r="L438" s="231"/>
      <c r="M438" s="231"/>
      <c r="N438" s="231"/>
      <c r="O438" s="231"/>
      <c r="P438" s="231"/>
      <c r="Q438" s="231"/>
      <c r="R438" s="231"/>
    </row>
    <row r="439" spans="1:18">
      <c r="A439" s="231"/>
      <c r="B439" s="231"/>
      <c r="C439" s="231"/>
      <c r="D439" s="231"/>
      <c r="E439" s="231"/>
      <c r="F439" s="231"/>
      <c r="G439" s="231"/>
      <c r="H439" s="231"/>
      <c r="I439" s="231"/>
      <c r="J439" s="231"/>
      <c r="K439" s="231"/>
      <c r="L439" s="231"/>
      <c r="M439" s="231"/>
      <c r="N439" s="231"/>
      <c r="O439" s="231"/>
      <c r="P439" s="231"/>
      <c r="Q439" s="231"/>
      <c r="R439" s="231"/>
    </row>
    <row r="440" spans="1:18">
      <c r="A440" s="231"/>
      <c r="B440" s="231"/>
      <c r="C440" s="231"/>
      <c r="D440" s="231"/>
      <c r="E440" s="231"/>
      <c r="F440" s="231"/>
      <c r="G440" s="231"/>
      <c r="H440" s="231"/>
      <c r="I440" s="231"/>
      <c r="J440" s="231"/>
      <c r="K440" s="231"/>
      <c r="L440" s="231"/>
      <c r="M440" s="231"/>
      <c r="N440" s="231"/>
      <c r="O440" s="231"/>
      <c r="P440" s="231"/>
      <c r="Q440" s="231"/>
      <c r="R440" s="231"/>
    </row>
    <row r="441" spans="1:18">
      <c r="A441" s="231"/>
      <c r="B441" s="231"/>
      <c r="C441" s="231"/>
      <c r="D441" s="231"/>
      <c r="E441" s="231"/>
      <c r="F441" s="231"/>
      <c r="G441" s="231"/>
      <c r="H441" s="231"/>
      <c r="I441" s="231"/>
      <c r="J441" s="231"/>
      <c r="K441" s="231"/>
      <c r="L441" s="231"/>
      <c r="M441" s="231"/>
      <c r="N441" s="231"/>
      <c r="O441" s="231"/>
      <c r="P441" s="231"/>
      <c r="Q441" s="231"/>
      <c r="R441" s="231"/>
    </row>
    <row r="442" spans="1:18">
      <c r="A442" s="231"/>
      <c r="B442" s="231"/>
      <c r="C442" s="231"/>
      <c r="D442" s="231"/>
      <c r="E442" s="231"/>
      <c r="F442" s="231"/>
      <c r="G442" s="231"/>
      <c r="H442" s="231"/>
      <c r="I442" s="231"/>
      <c r="J442" s="231"/>
      <c r="K442" s="231"/>
      <c r="L442" s="231"/>
      <c r="M442" s="231"/>
      <c r="N442" s="231"/>
      <c r="O442" s="231"/>
      <c r="P442" s="231"/>
      <c r="Q442" s="231"/>
      <c r="R442" s="231"/>
    </row>
    <row r="443" spans="1:18">
      <c r="A443" s="231"/>
      <c r="B443" s="231"/>
      <c r="C443" s="231"/>
      <c r="D443" s="231"/>
      <c r="E443" s="231"/>
      <c r="F443" s="231"/>
      <c r="G443" s="231"/>
      <c r="H443" s="231"/>
      <c r="I443" s="231"/>
      <c r="J443" s="231"/>
      <c r="K443" s="231"/>
      <c r="L443" s="231"/>
      <c r="M443" s="231"/>
      <c r="N443" s="231"/>
      <c r="O443" s="231"/>
      <c r="P443" s="231"/>
      <c r="Q443" s="231"/>
      <c r="R443" s="231"/>
    </row>
    <row r="444" spans="1:18">
      <c r="A444" s="231"/>
      <c r="B444" s="231"/>
      <c r="C444" s="231"/>
      <c r="D444" s="231"/>
      <c r="E444" s="231"/>
      <c r="F444" s="231"/>
      <c r="G444" s="231"/>
      <c r="H444" s="231"/>
      <c r="I444" s="231"/>
      <c r="J444" s="231"/>
      <c r="K444" s="231"/>
      <c r="L444" s="231"/>
      <c r="M444" s="231"/>
      <c r="N444" s="231"/>
      <c r="O444" s="231"/>
      <c r="P444" s="231"/>
      <c r="Q444" s="231"/>
      <c r="R444" s="231"/>
    </row>
    <row r="445" spans="1:18">
      <c r="A445" s="231"/>
      <c r="B445" s="231"/>
      <c r="C445" s="231"/>
      <c r="D445" s="231"/>
      <c r="E445" s="231"/>
      <c r="F445" s="231"/>
      <c r="G445" s="231"/>
      <c r="H445" s="231"/>
      <c r="I445" s="231"/>
      <c r="J445" s="231"/>
      <c r="K445" s="231"/>
      <c r="L445" s="231"/>
      <c r="M445" s="231"/>
      <c r="N445" s="231"/>
      <c r="O445" s="231"/>
      <c r="P445" s="231"/>
      <c r="Q445" s="231"/>
      <c r="R445" s="231"/>
    </row>
    <row r="446" spans="1:18">
      <c r="A446" s="231"/>
      <c r="B446" s="231"/>
      <c r="C446" s="231"/>
      <c r="D446" s="231"/>
      <c r="E446" s="231"/>
      <c r="F446" s="231"/>
      <c r="G446" s="231"/>
      <c r="H446" s="231"/>
      <c r="I446" s="231"/>
      <c r="J446" s="231"/>
      <c r="K446" s="231"/>
      <c r="L446" s="231"/>
      <c r="M446" s="231"/>
      <c r="N446" s="231"/>
      <c r="O446" s="231"/>
      <c r="P446" s="231"/>
      <c r="Q446" s="231"/>
      <c r="R446" s="231"/>
    </row>
    <row r="447" spans="1:18">
      <c r="A447" s="231"/>
      <c r="B447" s="231"/>
      <c r="C447" s="231"/>
      <c r="D447" s="231"/>
      <c r="E447" s="231"/>
      <c r="F447" s="231"/>
      <c r="G447" s="231"/>
      <c r="H447" s="231"/>
      <c r="I447" s="231"/>
      <c r="J447" s="231"/>
      <c r="K447" s="231"/>
      <c r="L447" s="231"/>
      <c r="M447" s="231"/>
      <c r="N447" s="231"/>
      <c r="O447" s="231"/>
      <c r="P447" s="231"/>
      <c r="Q447" s="231"/>
      <c r="R447" s="231"/>
    </row>
    <row r="448" spans="1:18">
      <c r="A448" s="231"/>
      <c r="B448" s="231"/>
      <c r="C448" s="231"/>
      <c r="D448" s="231"/>
      <c r="E448" s="231"/>
      <c r="F448" s="231"/>
      <c r="G448" s="231"/>
      <c r="H448" s="231"/>
      <c r="I448" s="231"/>
      <c r="J448" s="231"/>
      <c r="K448" s="231"/>
      <c r="L448" s="231"/>
      <c r="M448" s="231"/>
      <c r="N448" s="231"/>
      <c r="O448" s="231"/>
      <c r="P448" s="231"/>
      <c r="Q448" s="231"/>
      <c r="R448" s="231"/>
    </row>
    <row r="449" spans="1:18">
      <c r="A449" s="231"/>
      <c r="B449" s="231"/>
      <c r="C449" s="231"/>
      <c r="D449" s="231"/>
      <c r="E449" s="231"/>
      <c r="F449" s="231"/>
      <c r="G449" s="231"/>
      <c r="H449" s="231"/>
      <c r="I449" s="231"/>
      <c r="J449" s="231"/>
      <c r="K449" s="231"/>
      <c r="L449" s="231"/>
      <c r="M449" s="231"/>
      <c r="N449" s="231"/>
      <c r="O449" s="231"/>
      <c r="P449" s="231"/>
      <c r="Q449" s="231"/>
      <c r="R449" s="231"/>
    </row>
    <row r="450" spans="1:18">
      <c r="A450" s="231"/>
      <c r="B450" s="231"/>
      <c r="C450" s="231"/>
      <c r="D450" s="231"/>
      <c r="E450" s="231"/>
      <c r="F450" s="231"/>
      <c r="G450" s="231"/>
      <c r="H450" s="231"/>
      <c r="I450" s="231"/>
      <c r="J450" s="231"/>
      <c r="K450" s="231"/>
      <c r="L450" s="231"/>
      <c r="M450" s="231"/>
      <c r="N450" s="231"/>
      <c r="O450" s="231"/>
      <c r="P450" s="231"/>
      <c r="Q450" s="231"/>
      <c r="R450" s="231"/>
    </row>
    <row r="451" spans="1:18">
      <c r="A451" s="231"/>
      <c r="B451" s="231"/>
      <c r="C451" s="231"/>
      <c r="D451" s="231"/>
      <c r="E451" s="231"/>
      <c r="F451" s="231"/>
      <c r="G451" s="231"/>
      <c r="H451" s="231"/>
      <c r="I451" s="231"/>
      <c r="J451" s="231"/>
      <c r="K451" s="231"/>
      <c r="L451" s="231"/>
      <c r="M451" s="231"/>
      <c r="N451" s="231"/>
      <c r="O451" s="231"/>
      <c r="P451" s="231"/>
      <c r="Q451" s="231"/>
      <c r="R451" s="231"/>
    </row>
    <row r="452" spans="1:18">
      <c r="A452" s="231"/>
      <c r="B452" s="231"/>
      <c r="C452" s="231"/>
      <c r="D452" s="231"/>
      <c r="E452" s="231"/>
      <c r="F452" s="231"/>
      <c r="G452" s="231"/>
      <c r="H452" s="231"/>
      <c r="I452" s="231"/>
      <c r="J452" s="231"/>
      <c r="K452" s="231"/>
      <c r="L452" s="231"/>
      <c r="M452" s="231"/>
      <c r="N452" s="231"/>
      <c r="O452" s="231"/>
      <c r="P452" s="231"/>
      <c r="Q452" s="231"/>
      <c r="R452" s="231"/>
    </row>
    <row r="453" spans="1:18">
      <c r="A453" s="231"/>
      <c r="B453" s="231"/>
      <c r="C453" s="231"/>
      <c r="D453" s="231"/>
      <c r="E453" s="231"/>
      <c r="F453" s="231"/>
      <c r="G453" s="231"/>
      <c r="H453" s="231"/>
      <c r="I453" s="231"/>
      <c r="J453" s="231"/>
      <c r="K453" s="231"/>
      <c r="L453" s="231"/>
      <c r="M453" s="231"/>
      <c r="N453" s="231"/>
      <c r="O453" s="231"/>
      <c r="P453" s="231"/>
      <c r="Q453" s="231"/>
      <c r="R453" s="231"/>
    </row>
    <row r="454" spans="1:18">
      <c r="A454" s="231"/>
      <c r="B454" s="231"/>
      <c r="C454" s="231"/>
      <c r="D454" s="231"/>
      <c r="E454" s="231"/>
      <c r="F454" s="231"/>
      <c r="G454" s="231"/>
      <c r="H454" s="231"/>
      <c r="I454" s="231"/>
      <c r="J454" s="231"/>
      <c r="K454" s="231"/>
      <c r="L454" s="231"/>
      <c r="M454" s="231"/>
      <c r="N454" s="231"/>
      <c r="O454" s="231"/>
      <c r="P454" s="231"/>
      <c r="Q454" s="231"/>
      <c r="R454" s="231"/>
    </row>
    <row r="455" spans="1:18">
      <c r="A455" s="231"/>
      <c r="B455" s="231"/>
      <c r="C455" s="231"/>
      <c r="D455" s="231"/>
      <c r="E455" s="231"/>
      <c r="F455" s="231"/>
      <c r="G455" s="231"/>
      <c r="H455" s="231"/>
      <c r="I455" s="231"/>
      <c r="J455" s="231"/>
      <c r="K455" s="231"/>
      <c r="L455" s="231"/>
      <c r="M455" s="231"/>
      <c r="N455" s="231"/>
      <c r="O455" s="231"/>
      <c r="P455" s="231"/>
      <c r="Q455" s="231"/>
      <c r="R455" s="231"/>
    </row>
    <row r="456" spans="1:18">
      <c r="A456" s="231"/>
      <c r="B456" s="231"/>
      <c r="C456" s="231"/>
      <c r="D456" s="231"/>
      <c r="E456" s="231"/>
      <c r="F456" s="231"/>
      <c r="G456" s="231"/>
      <c r="H456" s="231"/>
      <c r="I456" s="231"/>
      <c r="J456" s="231"/>
      <c r="K456" s="231"/>
      <c r="L456" s="231"/>
      <c r="M456" s="231"/>
      <c r="N456" s="231"/>
      <c r="O456" s="231"/>
      <c r="P456" s="231"/>
      <c r="Q456" s="231"/>
      <c r="R456" s="231"/>
    </row>
    <row r="457" spans="1:18">
      <c r="A457" s="231"/>
      <c r="B457" s="231"/>
      <c r="C457" s="231"/>
      <c r="D457" s="231"/>
      <c r="E457" s="231"/>
      <c r="F457" s="231"/>
      <c r="G457" s="231"/>
      <c r="H457" s="231"/>
      <c r="I457" s="231"/>
      <c r="J457" s="231"/>
      <c r="K457" s="231"/>
      <c r="L457" s="231"/>
      <c r="M457" s="231"/>
      <c r="N457" s="231"/>
      <c r="O457" s="231"/>
      <c r="P457" s="231"/>
      <c r="Q457" s="231"/>
      <c r="R457" s="231"/>
    </row>
    <row r="458" spans="1:18">
      <c r="A458" s="231"/>
      <c r="B458" s="231"/>
      <c r="C458" s="231"/>
      <c r="D458" s="231"/>
      <c r="E458" s="231"/>
      <c r="F458" s="231"/>
      <c r="G458" s="231"/>
      <c r="H458" s="231"/>
      <c r="I458" s="231"/>
      <c r="J458" s="231"/>
      <c r="K458" s="231"/>
      <c r="L458" s="231"/>
      <c r="M458" s="231"/>
      <c r="N458" s="231"/>
      <c r="O458" s="231"/>
      <c r="P458" s="231"/>
      <c r="Q458" s="231"/>
      <c r="R458" s="231"/>
    </row>
    <row r="459" spans="1:18">
      <c r="A459" s="231"/>
      <c r="B459" s="231"/>
      <c r="C459" s="231"/>
      <c r="D459" s="231"/>
      <c r="E459" s="231"/>
      <c r="F459" s="231"/>
      <c r="G459" s="231"/>
      <c r="H459" s="231"/>
      <c r="I459" s="231"/>
      <c r="J459" s="231"/>
      <c r="K459" s="231"/>
      <c r="L459" s="231"/>
      <c r="M459" s="231"/>
      <c r="N459" s="231"/>
      <c r="O459" s="231"/>
      <c r="P459" s="231"/>
      <c r="Q459" s="231"/>
      <c r="R459" s="231"/>
    </row>
    <row r="460" spans="1:18">
      <c r="A460" s="231"/>
      <c r="B460" s="231"/>
      <c r="C460" s="231"/>
      <c r="D460" s="231"/>
      <c r="E460" s="231"/>
      <c r="F460" s="231"/>
      <c r="G460" s="231"/>
      <c r="H460" s="231"/>
      <c r="I460" s="231"/>
      <c r="J460" s="231"/>
      <c r="K460" s="231"/>
      <c r="L460" s="231"/>
      <c r="M460" s="231"/>
      <c r="N460" s="231"/>
      <c r="O460" s="231"/>
      <c r="P460" s="231"/>
      <c r="Q460" s="231"/>
      <c r="R460" s="231"/>
    </row>
    <row r="461" spans="1:18">
      <c r="A461" s="231"/>
      <c r="B461" s="231"/>
      <c r="C461" s="231"/>
      <c r="D461" s="231"/>
      <c r="E461" s="231"/>
      <c r="F461" s="231"/>
      <c r="G461" s="231"/>
      <c r="H461" s="231"/>
      <c r="I461" s="231"/>
      <c r="J461" s="231"/>
      <c r="K461" s="231"/>
      <c r="L461" s="231"/>
      <c r="M461" s="231"/>
      <c r="N461" s="231"/>
      <c r="O461" s="231"/>
      <c r="P461" s="231"/>
      <c r="Q461" s="231"/>
      <c r="R461" s="231"/>
    </row>
    <row r="462" spans="1:18">
      <c r="A462" s="231"/>
      <c r="B462" s="231"/>
      <c r="C462" s="231"/>
      <c r="D462" s="231"/>
      <c r="E462" s="231"/>
      <c r="F462" s="231"/>
      <c r="G462" s="231"/>
      <c r="H462" s="231"/>
      <c r="I462" s="231"/>
      <c r="J462" s="231"/>
      <c r="K462" s="231"/>
      <c r="L462" s="231"/>
      <c r="M462" s="231"/>
      <c r="N462" s="231"/>
      <c r="O462" s="231"/>
      <c r="P462" s="231"/>
      <c r="Q462" s="231"/>
      <c r="R462" s="231"/>
    </row>
    <row r="463" spans="1:18">
      <c r="A463" s="231"/>
      <c r="B463" s="231"/>
      <c r="C463" s="231"/>
      <c r="D463" s="231"/>
      <c r="E463" s="231"/>
      <c r="F463" s="231"/>
      <c r="G463" s="231"/>
      <c r="H463" s="231"/>
      <c r="I463" s="231"/>
      <c r="J463" s="231"/>
      <c r="K463" s="231"/>
      <c r="L463" s="231"/>
      <c r="M463" s="231"/>
      <c r="N463" s="231"/>
      <c r="O463" s="231"/>
      <c r="P463" s="231"/>
      <c r="Q463" s="231"/>
      <c r="R463" s="231"/>
    </row>
    <row r="464" spans="1:18">
      <c r="A464" s="231"/>
      <c r="B464" s="231"/>
      <c r="C464" s="231"/>
      <c r="D464" s="231"/>
      <c r="E464" s="231"/>
      <c r="F464" s="231"/>
      <c r="G464" s="231"/>
      <c r="H464" s="231"/>
      <c r="I464" s="231"/>
      <c r="J464" s="231"/>
      <c r="K464" s="231"/>
      <c r="L464" s="231"/>
      <c r="M464" s="231"/>
      <c r="N464" s="231"/>
      <c r="O464" s="231"/>
      <c r="P464" s="231"/>
      <c r="Q464" s="231"/>
      <c r="R464" s="231"/>
    </row>
    <row r="465" spans="1:18">
      <c r="A465" s="231"/>
      <c r="B465" s="231"/>
      <c r="C465" s="231"/>
      <c r="D465" s="231"/>
      <c r="E465" s="231"/>
      <c r="F465" s="231"/>
      <c r="G465" s="231"/>
      <c r="H465" s="231"/>
      <c r="I465" s="231"/>
      <c r="J465" s="231"/>
      <c r="K465" s="231"/>
      <c r="L465" s="231"/>
      <c r="M465" s="231"/>
      <c r="N465" s="231"/>
      <c r="O465" s="231"/>
      <c r="P465" s="231"/>
      <c r="Q465" s="231"/>
      <c r="R465" s="231"/>
    </row>
    <row r="466" spans="1:18">
      <c r="A466" s="231"/>
      <c r="B466" s="231"/>
      <c r="C466" s="231"/>
      <c r="D466" s="231"/>
      <c r="E466" s="231"/>
      <c r="F466" s="231"/>
      <c r="G466" s="231"/>
      <c r="H466" s="231"/>
      <c r="I466" s="231"/>
      <c r="J466" s="231"/>
      <c r="K466" s="231"/>
      <c r="L466" s="231"/>
      <c r="M466" s="231"/>
      <c r="N466" s="231"/>
      <c r="O466" s="231"/>
      <c r="P466" s="231"/>
      <c r="Q466" s="231"/>
      <c r="R466" s="231"/>
    </row>
    <row r="467" spans="1:18">
      <c r="A467" s="231"/>
      <c r="B467" s="231"/>
      <c r="C467" s="231"/>
      <c r="D467" s="231"/>
      <c r="E467" s="231"/>
      <c r="F467" s="231"/>
      <c r="G467" s="231"/>
      <c r="H467" s="231"/>
      <c r="I467" s="231"/>
      <c r="J467" s="231"/>
      <c r="K467" s="231"/>
      <c r="L467" s="231"/>
      <c r="M467" s="231"/>
      <c r="N467" s="231"/>
      <c r="O467" s="231"/>
      <c r="P467" s="231"/>
      <c r="Q467" s="231"/>
      <c r="R467" s="231"/>
    </row>
    <row r="468" spans="1:18">
      <c r="A468" s="231"/>
      <c r="B468" s="231"/>
      <c r="C468" s="231"/>
      <c r="D468" s="231"/>
      <c r="E468" s="231"/>
      <c r="F468" s="231"/>
      <c r="G468" s="231"/>
      <c r="H468" s="231"/>
      <c r="I468" s="231"/>
      <c r="J468" s="231"/>
      <c r="K468" s="231"/>
      <c r="L468" s="231"/>
      <c r="M468" s="231"/>
      <c r="N468" s="231"/>
      <c r="O468" s="231"/>
      <c r="P468" s="231"/>
      <c r="Q468" s="231"/>
      <c r="R468" s="231"/>
    </row>
    <row r="469" spans="1:18">
      <c r="A469" s="231"/>
      <c r="B469" s="231"/>
      <c r="C469" s="231"/>
      <c r="D469" s="231"/>
      <c r="E469" s="231"/>
      <c r="F469" s="231"/>
      <c r="G469" s="231"/>
      <c r="H469" s="231"/>
      <c r="I469" s="231"/>
      <c r="J469" s="231"/>
      <c r="K469" s="231"/>
      <c r="L469" s="231"/>
      <c r="M469" s="231"/>
      <c r="N469" s="231"/>
      <c r="O469" s="231"/>
      <c r="P469" s="231"/>
      <c r="Q469" s="231"/>
      <c r="R469" s="231"/>
    </row>
    <row r="470" spans="1:18">
      <c r="A470" s="231"/>
      <c r="B470" s="231"/>
      <c r="C470" s="231"/>
      <c r="D470" s="231"/>
      <c r="E470" s="231"/>
      <c r="F470" s="231"/>
      <c r="G470" s="231"/>
      <c r="H470" s="231"/>
      <c r="I470" s="231"/>
      <c r="J470" s="231"/>
      <c r="K470" s="231"/>
      <c r="L470" s="231"/>
      <c r="M470" s="231"/>
      <c r="N470" s="231"/>
      <c r="O470" s="231"/>
      <c r="P470" s="231"/>
      <c r="Q470" s="231"/>
      <c r="R470" s="231"/>
    </row>
    <row r="471" spans="1:18">
      <c r="A471" s="231"/>
      <c r="B471" s="231"/>
      <c r="C471" s="231"/>
      <c r="D471" s="231"/>
      <c r="E471" s="231"/>
      <c r="F471" s="231"/>
      <c r="G471" s="231"/>
      <c r="H471" s="231"/>
      <c r="I471" s="231"/>
      <c r="J471" s="231"/>
      <c r="K471" s="231"/>
      <c r="L471" s="231"/>
      <c r="M471" s="231"/>
      <c r="N471" s="231"/>
      <c r="O471" s="231"/>
      <c r="P471" s="231"/>
      <c r="Q471" s="231"/>
      <c r="R471" s="231"/>
    </row>
    <row r="472" spans="1:18">
      <c r="A472" s="231"/>
      <c r="B472" s="231"/>
      <c r="C472" s="231"/>
      <c r="D472" s="231"/>
      <c r="E472" s="231"/>
      <c r="F472" s="231"/>
      <c r="G472" s="231"/>
      <c r="H472" s="231"/>
      <c r="I472" s="231"/>
      <c r="J472" s="231"/>
      <c r="K472" s="231"/>
      <c r="L472" s="231"/>
      <c r="M472" s="231"/>
      <c r="N472" s="231"/>
      <c r="O472" s="231"/>
      <c r="P472" s="231"/>
      <c r="Q472" s="231"/>
      <c r="R472" s="231"/>
    </row>
    <row r="473" spans="1:18">
      <c r="A473" s="231"/>
      <c r="B473" s="231"/>
      <c r="C473" s="231"/>
      <c r="D473" s="231"/>
      <c r="E473" s="231"/>
      <c r="F473" s="231"/>
      <c r="G473" s="231"/>
      <c r="H473" s="231"/>
      <c r="I473" s="231"/>
      <c r="J473" s="231"/>
      <c r="K473" s="231"/>
      <c r="L473" s="231"/>
      <c r="M473" s="231"/>
      <c r="N473" s="231"/>
      <c r="O473" s="231"/>
      <c r="P473" s="231"/>
      <c r="Q473" s="231"/>
      <c r="R473" s="231"/>
    </row>
    <row r="474" spans="1:18">
      <c r="A474" s="231"/>
      <c r="B474" s="231"/>
      <c r="C474" s="231"/>
      <c r="D474" s="231"/>
      <c r="E474" s="231"/>
      <c r="F474" s="231"/>
      <c r="G474" s="231"/>
      <c r="H474" s="231"/>
      <c r="I474" s="231"/>
      <c r="J474" s="231"/>
      <c r="K474" s="231"/>
      <c r="L474" s="231"/>
      <c r="M474" s="231"/>
      <c r="N474" s="231"/>
      <c r="O474" s="231"/>
      <c r="P474" s="231"/>
      <c r="Q474" s="231"/>
      <c r="R474" s="231"/>
    </row>
    <row r="475" spans="1:18">
      <c r="A475" s="231"/>
      <c r="B475" s="231"/>
      <c r="C475" s="231"/>
      <c r="D475" s="231"/>
      <c r="E475" s="231"/>
      <c r="F475" s="231"/>
      <c r="G475" s="231"/>
      <c r="H475" s="231"/>
      <c r="I475" s="231"/>
      <c r="J475" s="231"/>
      <c r="K475" s="231"/>
      <c r="L475" s="231"/>
      <c r="M475" s="231"/>
      <c r="N475" s="231"/>
      <c r="O475" s="231"/>
      <c r="P475" s="231"/>
      <c r="Q475" s="231"/>
      <c r="R475" s="231"/>
    </row>
    <row r="476" spans="1:18">
      <c r="A476" s="231"/>
      <c r="B476" s="231"/>
      <c r="C476" s="231"/>
      <c r="D476" s="231"/>
      <c r="E476" s="231"/>
      <c r="F476" s="231"/>
      <c r="G476" s="231"/>
      <c r="H476" s="231"/>
      <c r="I476" s="231"/>
      <c r="J476" s="231"/>
      <c r="K476" s="231"/>
      <c r="L476" s="231"/>
      <c r="M476" s="231"/>
      <c r="N476" s="231"/>
      <c r="O476" s="231"/>
      <c r="P476" s="231"/>
      <c r="Q476" s="231"/>
      <c r="R476" s="231"/>
    </row>
    <row r="477" spans="1:18">
      <c r="A477" s="231"/>
      <c r="B477" s="231"/>
      <c r="C477" s="231"/>
      <c r="D477" s="231"/>
      <c r="E477" s="231"/>
      <c r="F477" s="231"/>
      <c r="G477" s="231"/>
      <c r="H477" s="231"/>
      <c r="I477" s="231"/>
      <c r="J477" s="231"/>
      <c r="K477" s="231"/>
      <c r="L477" s="231"/>
      <c r="M477" s="231"/>
      <c r="N477" s="231"/>
      <c r="O477" s="231"/>
      <c r="P477" s="231"/>
      <c r="Q477" s="231"/>
      <c r="R477" s="231"/>
    </row>
    <row r="478" spans="1:18">
      <c r="A478" s="231"/>
      <c r="B478" s="231"/>
      <c r="C478" s="231"/>
      <c r="D478" s="231"/>
      <c r="E478" s="231"/>
      <c r="F478" s="231"/>
      <c r="G478" s="231"/>
      <c r="H478" s="231"/>
      <c r="I478" s="231"/>
      <c r="J478" s="231"/>
      <c r="K478" s="231"/>
      <c r="L478" s="231"/>
      <c r="M478" s="231"/>
      <c r="N478" s="231"/>
      <c r="O478" s="231"/>
      <c r="P478" s="231"/>
      <c r="Q478" s="231"/>
      <c r="R478" s="231"/>
    </row>
    <row r="479" spans="1:18">
      <c r="A479" s="231"/>
      <c r="B479" s="231"/>
      <c r="C479" s="231"/>
      <c r="D479" s="231"/>
      <c r="E479" s="231"/>
      <c r="F479" s="231"/>
      <c r="G479" s="231"/>
      <c r="H479" s="231"/>
      <c r="I479" s="231"/>
      <c r="J479" s="231"/>
      <c r="K479" s="231"/>
      <c r="L479" s="231"/>
      <c r="M479" s="231"/>
      <c r="N479" s="231"/>
      <c r="O479" s="231"/>
      <c r="P479" s="231"/>
      <c r="Q479" s="231"/>
      <c r="R479" s="231"/>
    </row>
    <row r="480" spans="1:18">
      <c r="A480" s="231"/>
      <c r="B480" s="231"/>
      <c r="C480" s="231"/>
      <c r="D480" s="231"/>
      <c r="E480" s="231"/>
      <c r="F480" s="231"/>
      <c r="G480" s="231"/>
      <c r="H480" s="231"/>
      <c r="I480" s="231"/>
      <c r="J480" s="231"/>
      <c r="K480" s="231"/>
      <c r="L480" s="231"/>
      <c r="M480" s="231"/>
      <c r="N480" s="231"/>
      <c r="O480" s="231"/>
      <c r="P480" s="231"/>
      <c r="Q480" s="231"/>
      <c r="R480" s="231"/>
    </row>
    <row r="481" spans="1:18">
      <c r="A481" s="231"/>
      <c r="B481" s="231"/>
      <c r="C481" s="231"/>
      <c r="D481" s="231"/>
      <c r="E481" s="231"/>
      <c r="F481" s="231"/>
      <c r="G481" s="231"/>
      <c r="H481" s="231"/>
      <c r="I481" s="231"/>
      <c r="J481" s="231"/>
      <c r="K481" s="231"/>
      <c r="L481" s="231"/>
      <c r="M481" s="231"/>
      <c r="N481" s="231"/>
      <c r="O481" s="231"/>
      <c r="P481" s="231"/>
      <c r="Q481" s="231"/>
      <c r="R481" s="231"/>
    </row>
    <row r="482" spans="1:18">
      <c r="A482" s="231"/>
      <c r="B482" s="231"/>
      <c r="C482" s="231"/>
      <c r="D482" s="231"/>
      <c r="E482" s="231"/>
      <c r="F482" s="231"/>
      <c r="G482" s="231"/>
      <c r="H482" s="231"/>
      <c r="I482" s="231"/>
      <c r="J482" s="231"/>
      <c r="K482" s="231"/>
      <c r="L482" s="231"/>
      <c r="M482" s="231"/>
      <c r="N482" s="231"/>
      <c r="O482" s="231"/>
      <c r="P482" s="231"/>
      <c r="Q482" s="231"/>
      <c r="R482" s="231"/>
    </row>
    <row r="483" spans="1:18">
      <c r="A483" s="231"/>
      <c r="B483" s="231"/>
      <c r="C483" s="231"/>
      <c r="D483" s="231"/>
      <c r="E483" s="231"/>
      <c r="F483" s="231"/>
      <c r="G483" s="231"/>
      <c r="H483" s="231"/>
      <c r="I483" s="231"/>
      <c r="J483" s="231"/>
      <c r="K483" s="231"/>
      <c r="L483" s="231"/>
      <c r="M483" s="231"/>
      <c r="N483" s="231"/>
      <c r="O483" s="231"/>
      <c r="P483" s="231"/>
      <c r="Q483" s="231"/>
      <c r="R483" s="231"/>
    </row>
    <row r="484" spans="1:18">
      <c r="A484" s="231"/>
      <c r="B484" s="231"/>
      <c r="C484" s="231"/>
      <c r="D484" s="231"/>
      <c r="E484" s="231"/>
      <c r="F484" s="231"/>
      <c r="G484" s="231"/>
      <c r="H484" s="231"/>
      <c r="I484" s="231"/>
      <c r="J484" s="231"/>
      <c r="K484" s="231"/>
      <c r="L484" s="231"/>
      <c r="M484" s="231"/>
      <c r="N484" s="231"/>
      <c r="O484" s="231"/>
      <c r="P484" s="231"/>
      <c r="Q484" s="231"/>
      <c r="R484" s="231"/>
    </row>
    <row r="485" spans="1:18">
      <c r="A485" s="231"/>
      <c r="B485" s="231"/>
      <c r="C485" s="231"/>
      <c r="D485" s="231"/>
      <c r="E485" s="231"/>
      <c r="F485" s="231"/>
      <c r="G485" s="231"/>
      <c r="H485" s="231"/>
      <c r="I485" s="231"/>
      <c r="J485" s="231"/>
      <c r="K485" s="231"/>
      <c r="L485" s="231"/>
      <c r="M485" s="231"/>
      <c r="N485" s="231"/>
      <c r="O485" s="231"/>
      <c r="P485" s="231"/>
      <c r="Q485" s="231"/>
      <c r="R485" s="231"/>
    </row>
    <row r="486" spans="1:18">
      <c r="A486" s="231"/>
      <c r="B486" s="231"/>
      <c r="C486" s="231"/>
      <c r="D486" s="231"/>
      <c r="E486" s="231"/>
      <c r="F486" s="231"/>
      <c r="G486" s="231"/>
      <c r="H486" s="231"/>
      <c r="I486" s="231"/>
      <c r="J486" s="231"/>
      <c r="K486" s="231"/>
      <c r="L486" s="231"/>
      <c r="M486" s="231"/>
      <c r="N486" s="231"/>
      <c r="O486" s="231"/>
      <c r="P486" s="231"/>
      <c r="Q486" s="231"/>
      <c r="R486" s="231"/>
    </row>
    <row r="487" spans="1:18">
      <c r="A487" s="231"/>
      <c r="B487" s="231"/>
      <c r="C487" s="231"/>
      <c r="D487" s="231"/>
      <c r="E487" s="231"/>
      <c r="F487" s="231"/>
      <c r="G487" s="231"/>
      <c r="H487" s="231"/>
      <c r="I487" s="231"/>
      <c r="J487" s="231"/>
      <c r="K487" s="231"/>
      <c r="L487" s="231"/>
      <c r="M487" s="231"/>
      <c r="N487" s="231"/>
      <c r="O487" s="231"/>
      <c r="P487" s="231"/>
      <c r="Q487" s="231"/>
      <c r="R487" s="231"/>
    </row>
    <row r="488" spans="1:18">
      <c r="A488" s="231"/>
      <c r="B488" s="231"/>
      <c r="C488" s="231"/>
      <c r="D488" s="231"/>
      <c r="E488" s="231"/>
      <c r="F488" s="231"/>
      <c r="G488" s="231"/>
      <c r="H488" s="231"/>
      <c r="I488" s="231"/>
      <c r="J488" s="231"/>
      <c r="K488" s="231"/>
      <c r="L488" s="231"/>
      <c r="M488" s="231"/>
      <c r="N488" s="231"/>
      <c r="O488" s="231"/>
      <c r="P488" s="231"/>
      <c r="Q488" s="231"/>
      <c r="R488" s="231"/>
    </row>
    <row r="489" spans="1:18">
      <c r="A489" s="231"/>
      <c r="B489" s="231"/>
      <c r="C489" s="231"/>
      <c r="D489" s="231"/>
      <c r="E489" s="231"/>
      <c r="F489" s="231"/>
      <c r="G489" s="231"/>
      <c r="H489" s="231"/>
      <c r="I489" s="231"/>
      <c r="J489" s="231"/>
      <c r="K489" s="231"/>
      <c r="L489" s="231"/>
      <c r="M489" s="231"/>
      <c r="N489" s="231"/>
      <c r="O489" s="231"/>
      <c r="P489" s="231"/>
      <c r="Q489" s="231"/>
      <c r="R489" s="231"/>
    </row>
    <row r="490" spans="1:18">
      <c r="A490" s="231"/>
      <c r="B490" s="231"/>
      <c r="C490" s="231"/>
      <c r="D490" s="231"/>
      <c r="E490" s="231"/>
      <c r="F490" s="231"/>
      <c r="G490" s="231"/>
      <c r="H490" s="231"/>
      <c r="I490" s="231"/>
      <c r="J490" s="231"/>
      <c r="K490" s="231"/>
      <c r="L490" s="231"/>
      <c r="M490" s="231"/>
      <c r="N490" s="231"/>
      <c r="O490" s="231"/>
      <c r="P490" s="231"/>
      <c r="Q490" s="231"/>
      <c r="R490" s="231"/>
    </row>
    <row r="491" spans="1:18">
      <c r="A491" s="231"/>
      <c r="B491" s="231"/>
      <c r="C491" s="231"/>
      <c r="D491" s="231"/>
      <c r="E491" s="231"/>
      <c r="F491" s="231"/>
      <c r="G491" s="231"/>
      <c r="H491" s="231"/>
      <c r="I491" s="231"/>
      <c r="J491" s="231"/>
      <c r="K491" s="231"/>
      <c r="L491" s="231"/>
      <c r="M491" s="231"/>
      <c r="N491" s="231"/>
      <c r="O491" s="231"/>
      <c r="P491" s="231"/>
      <c r="Q491" s="231"/>
      <c r="R491" s="231"/>
    </row>
    <row r="492" spans="1:18">
      <c r="A492" s="231"/>
      <c r="B492" s="231"/>
      <c r="C492" s="231"/>
      <c r="D492" s="231"/>
      <c r="E492" s="231"/>
      <c r="F492" s="231"/>
      <c r="G492" s="231"/>
      <c r="H492" s="231"/>
      <c r="I492" s="231"/>
      <c r="J492" s="231"/>
      <c r="K492" s="231"/>
      <c r="L492" s="231"/>
      <c r="M492" s="231"/>
      <c r="N492" s="231"/>
      <c r="O492" s="231"/>
      <c r="P492" s="231"/>
      <c r="Q492" s="231"/>
      <c r="R492" s="231"/>
    </row>
    <row r="493" spans="1:18">
      <c r="A493" s="231"/>
      <c r="B493" s="231"/>
      <c r="C493" s="231"/>
      <c r="D493" s="231"/>
      <c r="E493" s="231"/>
      <c r="F493" s="231"/>
      <c r="G493" s="231"/>
      <c r="H493" s="231"/>
      <c r="I493" s="231"/>
      <c r="J493" s="231"/>
      <c r="K493" s="231"/>
      <c r="L493" s="231"/>
      <c r="M493" s="231"/>
      <c r="N493" s="231"/>
      <c r="O493" s="231"/>
      <c r="P493" s="231"/>
      <c r="Q493" s="231"/>
      <c r="R493" s="231"/>
    </row>
    <row r="494" spans="1:18">
      <c r="A494" s="231"/>
      <c r="B494" s="231"/>
      <c r="C494" s="231"/>
      <c r="D494" s="231"/>
      <c r="E494" s="231"/>
      <c r="F494" s="231"/>
      <c r="G494" s="231"/>
      <c r="H494" s="231"/>
      <c r="I494" s="231"/>
      <c r="J494" s="231"/>
      <c r="K494" s="231"/>
      <c r="L494" s="231"/>
      <c r="M494" s="231"/>
      <c r="N494" s="231"/>
      <c r="O494" s="231"/>
      <c r="P494" s="231"/>
      <c r="Q494" s="231"/>
      <c r="R494" s="231"/>
    </row>
    <row r="495" spans="1:18">
      <c r="A495" s="231"/>
      <c r="B495" s="231"/>
      <c r="C495" s="231"/>
      <c r="D495" s="231"/>
      <c r="E495" s="231"/>
      <c r="F495" s="231"/>
      <c r="G495" s="231"/>
      <c r="H495" s="231"/>
      <c r="I495" s="231"/>
      <c r="J495" s="231"/>
      <c r="K495" s="231"/>
      <c r="L495" s="231"/>
      <c r="M495" s="231"/>
      <c r="N495" s="231"/>
      <c r="O495" s="231"/>
      <c r="P495" s="231"/>
      <c r="Q495" s="231"/>
      <c r="R495" s="231"/>
    </row>
    <row r="496" spans="1:18">
      <c r="A496" s="231"/>
      <c r="B496" s="231"/>
      <c r="C496" s="231"/>
      <c r="D496" s="231"/>
      <c r="E496" s="231"/>
      <c r="F496" s="231"/>
      <c r="G496" s="231"/>
      <c r="H496" s="231"/>
      <c r="I496" s="231"/>
      <c r="J496" s="231"/>
      <c r="K496" s="231"/>
      <c r="L496" s="231"/>
      <c r="M496" s="231"/>
      <c r="N496" s="231"/>
      <c r="O496" s="231"/>
      <c r="P496" s="231"/>
      <c r="Q496" s="231"/>
      <c r="R496" s="231"/>
    </row>
    <row r="497" spans="1:18">
      <c r="A497" s="231"/>
      <c r="B497" s="231"/>
      <c r="C497" s="231"/>
      <c r="D497" s="231"/>
      <c r="E497" s="231"/>
      <c r="F497" s="231"/>
      <c r="G497" s="231"/>
      <c r="H497" s="231"/>
      <c r="I497" s="231"/>
      <c r="J497" s="231"/>
      <c r="K497" s="231"/>
      <c r="L497" s="231"/>
      <c r="M497" s="231"/>
      <c r="N497" s="231"/>
      <c r="O497" s="231"/>
      <c r="P497" s="231"/>
      <c r="Q497" s="231"/>
      <c r="R497" s="231"/>
    </row>
    <row r="498" spans="1:18">
      <c r="A498" s="231"/>
      <c r="B498" s="231"/>
      <c r="C498" s="231"/>
      <c r="D498" s="231"/>
      <c r="E498" s="231"/>
      <c r="F498" s="231"/>
      <c r="G498" s="231"/>
      <c r="H498" s="231"/>
      <c r="I498" s="231"/>
      <c r="J498" s="231"/>
      <c r="K498" s="231"/>
      <c r="L498" s="231"/>
      <c r="M498" s="231"/>
      <c r="N498" s="231"/>
      <c r="O498" s="231"/>
      <c r="P498" s="231"/>
      <c r="Q498" s="231"/>
      <c r="R498" s="231"/>
    </row>
    <row r="499" spans="1:18">
      <c r="A499" s="231"/>
      <c r="B499" s="231"/>
      <c r="C499" s="231"/>
      <c r="D499" s="231"/>
      <c r="E499" s="231"/>
      <c r="F499" s="231"/>
      <c r="G499" s="231"/>
      <c r="H499" s="231"/>
      <c r="I499" s="231"/>
      <c r="J499" s="231"/>
      <c r="K499" s="231"/>
      <c r="L499" s="231"/>
      <c r="M499" s="231"/>
      <c r="N499" s="231"/>
      <c r="O499" s="231"/>
      <c r="P499" s="231"/>
      <c r="Q499" s="231"/>
      <c r="R499" s="231"/>
    </row>
    <row r="500" spans="1:18">
      <c r="A500" s="231"/>
      <c r="B500" s="231"/>
      <c r="C500" s="231"/>
      <c r="D500" s="231"/>
      <c r="E500" s="231"/>
      <c r="F500" s="231"/>
      <c r="G500" s="231"/>
      <c r="H500" s="231"/>
      <c r="I500" s="231"/>
      <c r="J500" s="231"/>
      <c r="K500" s="231"/>
      <c r="L500" s="231"/>
      <c r="M500" s="231"/>
      <c r="N500" s="231"/>
      <c r="O500" s="231"/>
      <c r="P500" s="231"/>
      <c r="Q500" s="231"/>
      <c r="R500" s="231"/>
    </row>
    <row r="501" spans="1:18">
      <c r="A501" s="231"/>
      <c r="B501" s="231"/>
      <c r="C501" s="231"/>
      <c r="D501" s="231"/>
      <c r="E501" s="231"/>
      <c r="F501" s="231"/>
      <c r="G501" s="231"/>
      <c r="H501" s="231"/>
      <c r="I501" s="231"/>
      <c r="J501" s="231"/>
      <c r="K501" s="231"/>
      <c r="L501" s="231"/>
      <c r="M501" s="231"/>
      <c r="N501" s="231"/>
      <c r="O501" s="231"/>
      <c r="P501" s="231"/>
      <c r="Q501" s="231"/>
      <c r="R501" s="231"/>
    </row>
    <row r="502" spans="1:18">
      <c r="A502" s="231"/>
      <c r="B502" s="231"/>
      <c r="C502" s="231"/>
      <c r="D502" s="231"/>
      <c r="E502" s="231"/>
      <c r="F502" s="231"/>
      <c r="G502" s="231"/>
      <c r="H502" s="231"/>
      <c r="I502" s="231"/>
      <c r="J502" s="231"/>
      <c r="K502" s="231"/>
      <c r="L502" s="231"/>
      <c r="M502" s="231"/>
      <c r="N502" s="231"/>
      <c r="O502" s="231"/>
      <c r="P502" s="231"/>
      <c r="Q502" s="231"/>
      <c r="R502" s="231"/>
    </row>
    <row r="503" spans="1:18">
      <c r="A503" s="231"/>
      <c r="B503" s="231"/>
      <c r="C503" s="231"/>
      <c r="D503" s="231"/>
      <c r="E503" s="231"/>
      <c r="F503" s="231"/>
      <c r="G503" s="231"/>
      <c r="H503" s="231"/>
      <c r="I503" s="231"/>
      <c r="J503" s="231"/>
      <c r="K503" s="231"/>
      <c r="L503" s="231"/>
      <c r="M503" s="231"/>
      <c r="N503" s="231"/>
      <c r="O503" s="231"/>
      <c r="P503" s="231"/>
      <c r="Q503" s="231"/>
      <c r="R503" s="231"/>
    </row>
    <row r="504" spans="1:18">
      <c r="A504" s="231"/>
      <c r="B504" s="231"/>
      <c r="C504" s="231"/>
      <c r="D504" s="231"/>
      <c r="E504" s="231"/>
      <c r="F504" s="231"/>
      <c r="G504" s="231"/>
      <c r="H504" s="231"/>
      <c r="I504" s="231"/>
      <c r="J504" s="231"/>
      <c r="K504" s="231"/>
      <c r="L504" s="231"/>
      <c r="M504" s="231"/>
      <c r="N504" s="231"/>
      <c r="O504" s="231"/>
      <c r="P504" s="231"/>
      <c r="Q504" s="231"/>
      <c r="R504" s="231"/>
    </row>
    <row r="505" spans="1:18">
      <c r="A505" s="231"/>
      <c r="B505" s="231"/>
      <c r="C505" s="231"/>
      <c r="D505" s="231"/>
      <c r="E505" s="231"/>
      <c r="F505" s="231"/>
      <c r="G505" s="231"/>
      <c r="H505" s="231"/>
      <c r="I505" s="231"/>
      <c r="J505" s="231"/>
      <c r="K505" s="231"/>
      <c r="L505" s="231"/>
      <c r="M505" s="231"/>
      <c r="N505" s="231"/>
      <c r="O505" s="231"/>
      <c r="P505" s="231"/>
      <c r="Q505" s="231"/>
      <c r="R505" s="231"/>
    </row>
    <row r="506" spans="1:18">
      <c r="A506" s="231"/>
      <c r="B506" s="231"/>
      <c r="C506" s="231"/>
      <c r="D506" s="231"/>
      <c r="E506" s="231"/>
      <c r="F506" s="231"/>
      <c r="G506" s="231"/>
      <c r="H506" s="231"/>
      <c r="I506" s="231"/>
      <c r="J506" s="231"/>
      <c r="K506" s="231"/>
      <c r="L506" s="231"/>
      <c r="M506" s="231"/>
      <c r="N506" s="231"/>
      <c r="O506" s="231"/>
      <c r="P506" s="231"/>
      <c r="Q506" s="231"/>
      <c r="R506" s="231"/>
    </row>
    <row r="507" spans="1:18">
      <c r="A507" s="231"/>
      <c r="B507" s="231"/>
      <c r="C507" s="231"/>
      <c r="D507" s="231"/>
      <c r="E507" s="231"/>
      <c r="F507" s="231"/>
      <c r="G507" s="231"/>
      <c r="H507" s="231"/>
      <c r="I507" s="231"/>
      <c r="J507" s="231"/>
      <c r="K507" s="231"/>
      <c r="L507" s="231"/>
      <c r="M507" s="231"/>
      <c r="N507" s="231"/>
      <c r="O507" s="231"/>
      <c r="P507" s="231"/>
      <c r="Q507" s="231"/>
      <c r="R507" s="231"/>
    </row>
    <row r="508" spans="1:18">
      <c r="A508" s="231"/>
      <c r="B508" s="231"/>
      <c r="C508" s="231"/>
      <c r="D508" s="231"/>
      <c r="E508" s="231"/>
      <c r="F508" s="231"/>
      <c r="G508" s="231"/>
      <c r="H508" s="231"/>
      <c r="I508" s="231"/>
      <c r="J508" s="231"/>
      <c r="K508" s="231"/>
      <c r="L508" s="231"/>
      <c r="M508" s="231"/>
      <c r="N508" s="231"/>
      <c r="O508" s="231"/>
      <c r="P508" s="231"/>
      <c r="Q508" s="231"/>
      <c r="R508" s="231"/>
    </row>
    <row r="509" spans="1:18">
      <c r="A509" s="231"/>
      <c r="B509" s="231"/>
      <c r="C509" s="231"/>
      <c r="D509" s="231"/>
      <c r="E509" s="231"/>
      <c r="F509" s="231"/>
      <c r="G509" s="231"/>
      <c r="H509" s="231"/>
      <c r="I509" s="231"/>
      <c r="J509" s="231"/>
      <c r="K509" s="231"/>
      <c r="L509" s="231"/>
      <c r="M509" s="231"/>
      <c r="N509" s="231"/>
      <c r="O509" s="231"/>
      <c r="P509" s="231"/>
      <c r="Q509" s="231"/>
      <c r="R509" s="231"/>
    </row>
    <row r="510" spans="1:18">
      <c r="A510" s="231"/>
      <c r="B510" s="231"/>
      <c r="C510" s="231"/>
      <c r="D510" s="231"/>
      <c r="E510" s="231"/>
      <c r="F510" s="231"/>
      <c r="G510" s="231"/>
      <c r="H510" s="231"/>
      <c r="I510" s="231"/>
      <c r="J510" s="231"/>
      <c r="K510" s="231"/>
      <c r="L510" s="231"/>
      <c r="M510" s="231"/>
      <c r="N510" s="231"/>
      <c r="O510" s="231"/>
      <c r="P510" s="231"/>
      <c r="Q510" s="231"/>
      <c r="R510" s="231"/>
    </row>
    <row r="511" spans="1:18">
      <c r="A511" s="231"/>
      <c r="B511" s="231"/>
      <c r="C511" s="231"/>
      <c r="D511" s="231"/>
      <c r="E511" s="231"/>
      <c r="F511" s="231"/>
      <c r="G511" s="231"/>
      <c r="H511" s="231"/>
      <c r="I511" s="231"/>
      <c r="J511" s="231"/>
      <c r="K511" s="231"/>
      <c r="L511" s="231"/>
      <c r="M511" s="231"/>
      <c r="N511" s="231"/>
      <c r="O511" s="231"/>
      <c r="P511" s="231"/>
      <c r="Q511" s="231"/>
      <c r="R511" s="231"/>
    </row>
    <row r="512" spans="1:18">
      <c r="A512" s="231"/>
      <c r="B512" s="231"/>
      <c r="C512" s="231"/>
      <c r="D512" s="231"/>
      <c r="E512" s="231"/>
      <c r="F512" s="231"/>
      <c r="G512" s="231"/>
      <c r="H512" s="231"/>
      <c r="I512" s="231"/>
      <c r="J512" s="231"/>
      <c r="K512" s="231"/>
      <c r="L512" s="231"/>
      <c r="M512" s="231"/>
      <c r="N512" s="231"/>
      <c r="O512" s="231"/>
      <c r="P512" s="231"/>
      <c r="Q512" s="231"/>
      <c r="R512" s="231"/>
    </row>
    <row r="513" spans="1:18">
      <c r="A513" s="231"/>
      <c r="B513" s="231"/>
      <c r="C513" s="231"/>
      <c r="D513" s="231"/>
      <c r="E513" s="231"/>
      <c r="F513" s="231"/>
      <c r="G513" s="231"/>
      <c r="H513" s="231"/>
      <c r="I513" s="231"/>
      <c r="J513" s="231"/>
      <c r="K513" s="231"/>
      <c r="L513" s="231"/>
      <c r="M513" s="231"/>
      <c r="N513" s="231"/>
      <c r="O513" s="231"/>
      <c r="P513" s="231"/>
      <c r="Q513" s="231"/>
      <c r="R513" s="231"/>
    </row>
    <row r="514" spans="1:18">
      <c r="A514" s="231"/>
      <c r="B514" s="231"/>
      <c r="C514" s="231"/>
      <c r="D514" s="231"/>
      <c r="E514" s="231"/>
      <c r="F514" s="231"/>
      <c r="G514" s="231"/>
      <c r="H514" s="231"/>
      <c r="I514" s="231"/>
      <c r="J514" s="231"/>
      <c r="K514" s="231"/>
      <c r="L514" s="231"/>
      <c r="M514" s="231"/>
      <c r="N514" s="231"/>
      <c r="O514" s="231"/>
      <c r="P514" s="231"/>
      <c r="Q514" s="231"/>
      <c r="R514" s="231"/>
    </row>
    <row r="515" spans="1:18">
      <c r="A515" s="231"/>
      <c r="B515" s="231"/>
      <c r="C515" s="231"/>
      <c r="D515" s="231"/>
      <c r="E515" s="231"/>
      <c r="F515" s="231"/>
      <c r="G515" s="231"/>
      <c r="H515" s="231"/>
      <c r="I515" s="231"/>
      <c r="J515" s="231"/>
      <c r="K515" s="231"/>
      <c r="L515" s="231"/>
      <c r="M515" s="231"/>
      <c r="N515" s="231"/>
      <c r="O515" s="231"/>
      <c r="P515" s="231"/>
      <c r="Q515" s="231"/>
      <c r="R515" s="231"/>
    </row>
    <row r="516" spans="1:18">
      <c r="A516" s="231"/>
      <c r="B516" s="231"/>
      <c r="C516" s="231"/>
      <c r="D516" s="231"/>
      <c r="E516" s="231"/>
      <c r="F516" s="231"/>
      <c r="G516" s="231"/>
      <c r="H516" s="231"/>
      <c r="I516" s="231"/>
      <c r="J516" s="231"/>
      <c r="K516" s="231"/>
      <c r="L516" s="231"/>
      <c r="M516" s="231"/>
      <c r="N516" s="231"/>
      <c r="O516" s="231"/>
      <c r="P516" s="231"/>
      <c r="Q516" s="231"/>
      <c r="R516" s="231"/>
    </row>
    <row r="517" spans="1:18">
      <c r="A517" s="231"/>
      <c r="B517" s="231"/>
      <c r="C517" s="231"/>
      <c r="D517" s="231"/>
      <c r="E517" s="231"/>
      <c r="F517" s="231"/>
      <c r="G517" s="231"/>
      <c r="H517" s="231"/>
      <c r="I517" s="231"/>
      <c r="J517" s="231"/>
      <c r="K517" s="231"/>
      <c r="L517" s="231"/>
      <c r="M517" s="231"/>
      <c r="N517" s="231"/>
      <c r="O517" s="231"/>
      <c r="P517" s="231"/>
      <c r="Q517" s="231"/>
      <c r="R517" s="231"/>
    </row>
    <row r="518" spans="1:18">
      <c r="A518" s="231"/>
      <c r="B518" s="231"/>
      <c r="C518" s="231"/>
      <c r="D518" s="231"/>
      <c r="E518" s="231"/>
      <c r="F518" s="231"/>
      <c r="G518" s="231"/>
      <c r="H518" s="231"/>
      <c r="I518" s="231"/>
      <c r="J518" s="231"/>
      <c r="K518" s="231"/>
      <c r="L518" s="231"/>
      <c r="M518" s="231"/>
      <c r="N518" s="231"/>
      <c r="O518" s="231"/>
      <c r="P518" s="231"/>
      <c r="Q518" s="231"/>
      <c r="R518" s="231"/>
    </row>
    <row r="519" spans="1:18">
      <c r="A519" s="231"/>
      <c r="B519" s="231"/>
      <c r="C519" s="231"/>
      <c r="D519" s="231"/>
      <c r="E519" s="231"/>
      <c r="F519" s="231"/>
      <c r="G519" s="231"/>
      <c r="H519" s="231"/>
      <c r="I519" s="231"/>
      <c r="J519" s="231"/>
      <c r="K519" s="231"/>
      <c r="L519" s="231"/>
      <c r="M519" s="231"/>
      <c r="N519" s="231"/>
      <c r="O519" s="231"/>
      <c r="P519" s="231"/>
      <c r="Q519" s="231"/>
      <c r="R519" s="231"/>
    </row>
    <row r="520" spans="1:18">
      <c r="A520" s="231"/>
      <c r="B520" s="231"/>
      <c r="C520" s="231"/>
      <c r="D520" s="231"/>
      <c r="E520" s="231"/>
      <c r="F520" s="231"/>
      <c r="G520" s="231"/>
      <c r="H520" s="231"/>
      <c r="I520" s="231"/>
      <c r="J520" s="231"/>
      <c r="K520" s="231"/>
      <c r="L520" s="231"/>
      <c r="M520" s="231"/>
      <c r="N520" s="231"/>
      <c r="O520" s="231"/>
      <c r="P520" s="231"/>
      <c r="Q520" s="231"/>
      <c r="R520" s="231"/>
    </row>
    <row r="521" spans="1:18">
      <c r="A521" s="231"/>
      <c r="B521" s="231"/>
      <c r="C521" s="231"/>
      <c r="D521" s="231"/>
      <c r="E521" s="231"/>
      <c r="F521" s="231"/>
      <c r="G521" s="231"/>
      <c r="H521" s="231"/>
      <c r="I521" s="231"/>
      <c r="J521" s="231"/>
      <c r="K521" s="231"/>
      <c r="L521" s="231"/>
      <c r="M521" s="231"/>
      <c r="N521" s="231"/>
      <c r="O521" s="231"/>
      <c r="P521" s="231"/>
      <c r="Q521" s="231"/>
      <c r="R521" s="231"/>
    </row>
    <row r="522" spans="1:18">
      <c r="A522" s="231"/>
      <c r="B522" s="231"/>
      <c r="C522" s="231"/>
      <c r="D522" s="231"/>
      <c r="E522" s="231"/>
      <c r="F522" s="231"/>
      <c r="G522" s="231"/>
      <c r="H522" s="231"/>
      <c r="I522" s="231"/>
      <c r="J522" s="231"/>
      <c r="K522" s="231"/>
      <c r="L522" s="231"/>
      <c r="M522" s="231"/>
      <c r="N522" s="231"/>
      <c r="O522" s="231"/>
      <c r="P522" s="231"/>
      <c r="Q522" s="231"/>
      <c r="R522" s="231"/>
    </row>
    <row r="523" spans="1:18">
      <c r="A523" s="231"/>
      <c r="B523" s="231"/>
      <c r="C523" s="231"/>
      <c r="D523" s="231"/>
      <c r="E523" s="231"/>
      <c r="F523" s="231"/>
      <c r="G523" s="231"/>
      <c r="H523" s="231"/>
      <c r="I523" s="231"/>
      <c r="J523" s="231"/>
      <c r="K523" s="231"/>
      <c r="L523" s="231"/>
      <c r="M523" s="231"/>
      <c r="N523" s="231"/>
      <c r="O523" s="231"/>
      <c r="P523" s="231"/>
      <c r="Q523" s="231"/>
      <c r="R523" s="231"/>
    </row>
    <row r="524" spans="1:18">
      <c r="A524" s="231"/>
      <c r="B524" s="231"/>
      <c r="C524" s="231"/>
      <c r="D524" s="231"/>
      <c r="E524" s="231"/>
      <c r="F524" s="231"/>
      <c r="G524" s="231"/>
      <c r="H524" s="231"/>
      <c r="I524" s="231"/>
      <c r="J524" s="231"/>
      <c r="K524" s="231"/>
      <c r="L524" s="231"/>
      <c r="M524" s="231"/>
      <c r="N524" s="231"/>
      <c r="O524" s="231"/>
      <c r="P524" s="231"/>
      <c r="Q524" s="231"/>
      <c r="R524" s="231"/>
    </row>
    <row r="525" spans="1:18">
      <c r="A525" s="231"/>
      <c r="B525" s="231"/>
      <c r="C525" s="231"/>
      <c r="D525" s="231"/>
      <c r="E525" s="231"/>
      <c r="F525" s="231"/>
      <c r="G525" s="231"/>
      <c r="H525" s="231"/>
      <c r="I525" s="231"/>
      <c r="J525" s="231"/>
      <c r="K525" s="231"/>
      <c r="L525" s="231"/>
      <c r="M525" s="231"/>
      <c r="N525" s="231"/>
      <c r="O525" s="231"/>
      <c r="P525" s="231"/>
      <c r="Q525" s="231"/>
      <c r="R525" s="231"/>
    </row>
    <row r="526" spans="1:18">
      <c r="A526" s="231"/>
      <c r="B526" s="231"/>
      <c r="C526" s="231"/>
      <c r="D526" s="231"/>
      <c r="E526" s="231"/>
      <c r="F526" s="231"/>
      <c r="G526" s="231"/>
      <c r="H526" s="231"/>
      <c r="I526" s="231"/>
      <c r="J526" s="231"/>
      <c r="K526" s="231"/>
      <c r="L526" s="231"/>
      <c r="M526" s="231"/>
      <c r="N526" s="231"/>
      <c r="O526" s="231"/>
      <c r="P526" s="231"/>
      <c r="Q526" s="231"/>
      <c r="R526" s="231"/>
    </row>
    <row r="527" spans="1:18">
      <c r="A527" s="231"/>
      <c r="B527" s="231"/>
      <c r="C527" s="231"/>
      <c r="D527" s="231"/>
      <c r="E527" s="231"/>
      <c r="F527" s="231"/>
      <c r="G527" s="231"/>
      <c r="H527" s="231"/>
      <c r="I527" s="231"/>
      <c r="J527" s="231"/>
      <c r="K527" s="231"/>
      <c r="L527" s="231"/>
      <c r="M527" s="231"/>
      <c r="N527" s="231"/>
      <c r="O527" s="231"/>
      <c r="P527" s="231"/>
      <c r="Q527" s="231"/>
      <c r="R527" s="231"/>
    </row>
    <row r="528" spans="1:18">
      <c r="A528" s="231"/>
      <c r="B528" s="231"/>
      <c r="C528" s="231"/>
      <c r="D528" s="231"/>
      <c r="E528" s="231"/>
      <c r="F528" s="231"/>
      <c r="G528" s="231"/>
      <c r="H528" s="231"/>
      <c r="I528" s="231"/>
      <c r="J528" s="231"/>
      <c r="K528" s="231"/>
      <c r="L528" s="231"/>
      <c r="M528" s="231"/>
      <c r="N528" s="231"/>
      <c r="O528" s="231"/>
      <c r="P528" s="231"/>
      <c r="Q528" s="231"/>
      <c r="R528" s="231"/>
    </row>
    <row r="529" spans="1:18">
      <c r="A529" s="231"/>
      <c r="B529" s="231"/>
      <c r="C529" s="231"/>
      <c r="D529" s="231"/>
      <c r="E529" s="231"/>
      <c r="F529" s="231"/>
      <c r="G529" s="231"/>
      <c r="H529" s="231"/>
      <c r="I529" s="231"/>
      <c r="J529" s="231"/>
      <c r="K529" s="231"/>
      <c r="L529" s="231"/>
      <c r="M529" s="231"/>
      <c r="N529" s="231"/>
      <c r="O529" s="231"/>
      <c r="P529" s="231"/>
      <c r="Q529" s="231"/>
      <c r="R529" s="231"/>
    </row>
    <row r="530" spans="1:18">
      <c r="A530" s="231"/>
      <c r="B530" s="231"/>
      <c r="C530" s="231"/>
      <c r="D530" s="231"/>
      <c r="E530" s="231"/>
      <c r="F530" s="231"/>
      <c r="G530" s="231"/>
      <c r="H530" s="231"/>
      <c r="I530" s="231"/>
      <c r="J530" s="231"/>
      <c r="K530" s="231"/>
      <c r="L530" s="231"/>
      <c r="M530" s="231"/>
      <c r="N530" s="231"/>
      <c r="O530" s="231"/>
      <c r="P530" s="231"/>
      <c r="Q530" s="231"/>
      <c r="R530" s="231"/>
    </row>
    <row r="531" spans="1:18">
      <c r="A531" s="231"/>
      <c r="B531" s="231"/>
      <c r="C531" s="231"/>
      <c r="D531" s="231"/>
      <c r="E531" s="231"/>
      <c r="F531" s="231"/>
      <c r="G531" s="231"/>
      <c r="H531" s="231"/>
      <c r="I531" s="231"/>
      <c r="J531" s="231"/>
      <c r="K531" s="231"/>
      <c r="L531" s="231"/>
      <c r="M531" s="231"/>
      <c r="N531" s="231"/>
      <c r="O531" s="231"/>
      <c r="P531" s="231"/>
      <c r="Q531" s="231"/>
      <c r="R531" s="231"/>
    </row>
    <row r="532" spans="1:18">
      <c r="A532" s="231"/>
      <c r="B532" s="231"/>
      <c r="C532" s="231"/>
      <c r="D532" s="231"/>
      <c r="E532" s="231"/>
      <c r="F532" s="231"/>
      <c r="G532" s="231"/>
      <c r="H532" s="231"/>
      <c r="I532" s="231"/>
      <c r="J532" s="231"/>
      <c r="K532" s="231"/>
      <c r="L532" s="231"/>
      <c r="M532" s="231"/>
      <c r="N532" s="231"/>
      <c r="O532" s="231"/>
      <c r="P532" s="231"/>
      <c r="Q532" s="231"/>
      <c r="R532" s="231"/>
    </row>
    <row r="533" spans="1:18">
      <c r="A533" s="231"/>
      <c r="B533" s="231"/>
      <c r="C533" s="231"/>
      <c r="D533" s="231"/>
      <c r="E533" s="231"/>
      <c r="F533" s="231"/>
      <c r="G533" s="231"/>
      <c r="H533" s="231"/>
      <c r="I533" s="231"/>
      <c r="J533" s="231"/>
      <c r="K533" s="231"/>
      <c r="L533" s="231"/>
      <c r="M533" s="231"/>
      <c r="N533" s="231"/>
      <c r="O533" s="231"/>
      <c r="P533" s="231"/>
      <c r="Q533" s="231"/>
      <c r="R533" s="231"/>
    </row>
    <row r="534" spans="1:18">
      <c r="A534" s="231"/>
      <c r="B534" s="231"/>
      <c r="C534" s="231"/>
      <c r="D534" s="231"/>
      <c r="E534" s="231"/>
      <c r="F534" s="231"/>
      <c r="G534" s="231"/>
      <c r="H534" s="231"/>
      <c r="I534" s="231"/>
      <c r="J534" s="231"/>
      <c r="K534" s="231"/>
      <c r="L534" s="231"/>
      <c r="M534" s="231"/>
      <c r="N534" s="231"/>
      <c r="O534" s="231"/>
      <c r="P534" s="231"/>
      <c r="Q534" s="231"/>
      <c r="R534" s="231"/>
    </row>
    <row r="535" spans="1:18">
      <c r="A535" s="231"/>
      <c r="B535" s="231"/>
      <c r="C535" s="231"/>
      <c r="D535" s="231"/>
      <c r="E535" s="231"/>
      <c r="F535" s="231"/>
      <c r="G535" s="231"/>
      <c r="H535" s="231"/>
      <c r="I535" s="231"/>
      <c r="J535" s="231"/>
      <c r="K535" s="231"/>
      <c r="L535" s="231"/>
      <c r="M535" s="231"/>
      <c r="N535" s="231"/>
      <c r="O535" s="231"/>
      <c r="P535" s="231"/>
      <c r="Q535" s="231"/>
      <c r="R535" s="231"/>
    </row>
    <row r="536" spans="1:18">
      <c r="A536" s="231"/>
      <c r="B536" s="231"/>
      <c r="C536" s="231"/>
      <c r="D536" s="231"/>
      <c r="E536" s="231"/>
      <c r="F536" s="231"/>
      <c r="G536" s="231"/>
      <c r="H536" s="231"/>
      <c r="I536" s="231"/>
      <c r="J536" s="231"/>
      <c r="K536" s="231"/>
      <c r="L536" s="231"/>
      <c r="M536" s="231"/>
      <c r="N536" s="231"/>
      <c r="O536" s="231"/>
      <c r="P536" s="231"/>
      <c r="Q536" s="231"/>
      <c r="R536" s="231"/>
    </row>
    <row r="537" spans="1:18">
      <c r="A537" s="231"/>
      <c r="B537" s="231"/>
      <c r="C537" s="231"/>
      <c r="D537" s="231"/>
      <c r="E537" s="231"/>
      <c r="F537" s="231"/>
      <c r="G537" s="231"/>
      <c r="H537" s="231"/>
      <c r="I537" s="231"/>
      <c r="J537" s="231"/>
      <c r="K537" s="231"/>
      <c r="L537" s="231"/>
      <c r="M537" s="231"/>
      <c r="N537" s="231"/>
      <c r="O537" s="231"/>
      <c r="P537" s="231"/>
      <c r="Q537" s="231"/>
      <c r="R537" s="231"/>
    </row>
    <row r="538" spans="1:18">
      <c r="A538" s="231"/>
      <c r="B538" s="231"/>
      <c r="C538" s="231"/>
      <c r="D538" s="231"/>
      <c r="E538" s="231"/>
      <c r="F538" s="231"/>
      <c r="G538" s="231"/>
      <c r="H538" s="231"/>
      <c r="I538" s="231"/>
      <c r="J538" s="231"/>
      <c r="K538" s="231"/>
      <c r="L538" s="231"/>
      <c r="M538" s="231"/>
      <c r="N538" s="231"/>
      <c r="O538" s="231"/>
      <c r="P538" s="231"/>
      <c r="Q538" s="231"/>
      <c r="R538" s="231"/>
    </row>
    <row r="539" spans="1:18">
      <c r="A539" s="231"/>
      <c r="B539" s="231"/>
      <c r="C539" s="231"/>
      <c r="D539" s="231"/>
      <c r="E539" s="231"/>
      <c r="F539" s="231"/>
      <c r="G539" s="231"/>
      <c r="H539" s="231"/>
      <c r="I539" s="231"/>
      <c r="J539" s="231"/>
      <c r="K539" s="231"/>
      <c r="L539" s="231"/>
      <c r="M539" s="231"/>
      <c r="N539" s="231"/>
      <c r="O539" s="231"/>
      <c r="P539" s="231"/>
      <c r="Q539" s="231"/>
      <c r="R539" s="231"/>
    </row>
    <row r="540" spans="1:18">
      <c r="A540" s="231"/>
      <c r="B540" s="231"/>
      <c r="C540" s="231"/>
      <c r="D540" s="231"/>
      <c r="E540" s="231"/>
      <c r="F540" s="231"/>
      <c r="G540" s="231"/>
      <c r="H540" s="231"/>
      <c r="I540" s="231"/>
      <c r="J540" s="231"/>
      <c r="K540" s="231"/>
      <c r="L540" s="231"/>
      <c r="M540" s="231"/>
      <c r="N540" s="231"/>
      <c r="O540" s="231"/>
      <c r="P540" s="231"/>
      <c r="Q540" s="231"/>
      <c r="R540" s="231"/>
    </row>
    <row r="541" spans="1:18">
      <c r="A541" s="231"/>
      <c r="B541" s="231"/>
      <c r="C541" s="231"/>
      <c r="D541" s="231"/>
      <c r="E541" s="231"/>
      <c r="F541" s="231"/>
      <c r="G541" s="231"/>
      <c r="H541" s="231"/>
      <c r="I541" s="231"/>
      <c r="J541" s="231"/>
      <c r="K541" s="231"/>
      <c r="L541" s="231"/>
      <c r="M541" s="231"/>
      <c r="N541" s="231"/>
      <c r="O541" s="231"/>
      <c r="P541" s="231"/>
      <c r="Q541" s="231"/>
      <c r="R541" s="231"/>
    </row>
    <row r="542" spans="1:18">
      <c r="A542" s="231"/>
      <c r="B542" s="231"/>
      <c r="C542" s="231"/>
      <c r="D542" s="231"/>
      <c r="E542" s="231"/>
      <c r="F542" s="231"/>
      <c r="G542" s="231"/>
      <c r="H542" s="231"/>
      <c r="I542" s="231"/>
      <c r="J542" s="231"/>
      <c r="K542" s="231"/>
      <c r="L542" s="231"/>
      <c r="M542" s="231"/>
      <c r="N542" s="231"/>
      <c r="O542" s="231"/>
      <c r="P542" s="231"/>
      <c r="Q542" s="231"/>
      <c r="R542" s="231"/>
    </row>
    <row r="543" spans="1:18">
      <c r="A543" s="231"/>
      <c r="B543" s="231"/>
      <c r="C543" s="231"/>
      <c r="D543" s="231"/>
      <c r="E543" s="231"/>
      <c r="F543" s="231"/>
      <c r="G543" s="231"/>
      <c r="H543" s="231"/>
      <c r="I543" s="231"/>
      <c r="J543" s="231"/>
      <c r="K543" s="231"/>
      <c r="L543" s="231"/>
      <c r="M543" s="231"/>
      <c r="N543" s="231"/>
      <c r="O543" s="231"/>
      <c r="P543" s="231"/>
      <c r="Q543" s="231"/>
      <c r="R543" s="231"/>
    </row>
    <row r="544" spans="1:18">
      <c r="A544" s="231"/>
      <c r="B544" s="231"/>
      <c r="C544" s="231"/>
      <c r="D544" s="231"/>
      <c r="E544" s="231"/>
      <c r="F544" s="231"/>
      <c r="G544" s="231"/>
      <c r="H544" s="231"/>
      <c r="I544" s="231"/>
      <c r="J544" s="231"/>
      <c r="K544" s="231"/>
      <c r="L544" s="231"/>
      <c r="M544" s="231"/>
      <c r="N544" s="231"/>
      <c r="O544" s="231"/>
      <c r="P544" s="231"/>
      <c r="Q544" s="231"/>
      <c r="R544" s="231"/>
    </row>
    <row r="545" spans="1:18">
      <c r="A545" s="231"/>
      <c r="B545" s="231"/>
      <c r="C545" s="231"/>
      <c r="D545" s="231"/>
      <c r="E545" s="231"/>
      <c r="F545" s="231"/>
      <c r="G545" s="231"/>
      <c r="H545" s="231"/>
      <c r="I545" s="231"/>
      <c r="J545" s="231"/>
      <c r="K545" s="231"/>
      <c r="L545" s="231"/>
      <c r="M545" s="231"/>
      <c r="N545" s="231"/>
      <c r="O545" s="231"/>
      <c r="P545" s="231"/>
      <c r="Q545" s="231"/>
      <c r="R545" s="231"/>
    </row>
    <row r="546" spans="1:18">
      <c r="A546" s="231"/>
      <c r="B546" s="231"/>
      <c r="C546" s="231"/>
      <c r="D546" s="231"/>
      <c r="E546" s="231"/>
      <c r="F546" s="231"/>
      <c r="G546" s="231"/>
      <c r="H546" s="231"/>
      <c r="I546" s="231"/>
      <c r="J546" s="231"/>
      <c r="K546" s="231"/>
      <c r="L546" s="231"/>
      <c r="M546" s="231"/>
      <c r="N546" s="231"/>
      <c r="O546" s="231"/>
      <c r="P546" s="231"/>
      <c r="Q546" s="231"/>
      <c r="R546" s="231"/>
    </row>
    <row r="547" spans="1:18">
      <c r="A547" s="231"/>
      <c r="B547" s="231"/>
      <c r="C547" s="231"/>
      <c r="D547" s="231"/>
      <c r="E547" s="231"/>
      <c r="F547" s="231"/>
      <c r="G547" s="231"/>
      <c r="H547" s="231"/>
      <c r="I547" s="231"/>
      <c r="J547" s="231"/>
      <c r="K547" s="231"/>
      <c r="L547" s="231"/>
      <c r="M547" s="231"/>
      <c r="N547" s="231"/>
      <c r="O547" s="231"/>
      <c r="P547" s="231"/>
      <c r="Q547" s="231"/>
      <c r="R547" s="231"/>
    </row>
    <row r="548" spans="1:18">
      <c r="A548" s="231"/>
      <c r="B548" s="231"/>
      <c r="C548" s="231"/>
      <c r="D548" s="231"/>
      <c r="E548" s="231"/>
      <c r="F548" s="231"/>
      <c r="G548" s="231"/>
      <c r="H548" s="231"/>
      <c r="I548" s="231"/>
      <c r="J548" s="231"/>
      <c r="K548" s="231"/>
      <c r="L548" s="231"/>
      <c r="M548" s="231"/>
      <c r="N548" s="231"/>
      <c r="O548" s="231"/>
      <c r="P548" s="231"/>
      <c r="Q548" s="231"/>
      <c r="R548" s="231"/>
    </row>
  </sheetData>
  <mergeCells count="5">
    <mergeCell ref="C19:L19"/>
    <mergeCell ref="D15:F15"/>
    <mergeCell ref="D17:F17"/>
    <mergeCell ref="H15:J15"/>
    <mergeCell ref="H17:J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126"/>
  <sheetViews>
    <sheetView tabSelected="1" zoomScale="60" zoomScaleNormal="60" workbookViewId="0">
      <selection activeCell="W37" sqref="W37"/>
    </sheetView>
  </sheetViews>
  <sheetFormatPr baseColWidth="10" defaultRowHeight="12.75"/>
  <cols>
    <col min="4" max="4" width="17.140625" customWidth="1"/>
    <col min="16" max="16" width="13.140625" customWidth="1"/>
  </cols>
  <sheetData>
    <row r="1" spans="1:50">
      <c r="A1" s="174"/>
      <c r="B1" s="174"/>
      <c r="C1" s="174"/>
      <c r="D1" s="174"/>
      <c r="E1" s="174"/>
      <c r="F1" s="174"/>
      <c r="G1" s="174"/>
      <c r="H1" s="174"/>
      <c r="I1" s="174"/>
      <c r="J1" s="174"/>
      <c r="K1" s="174"/>
      <c r="L1" s="174"/>
      <c r="M1" s="174"/>
      <c r="N1" s="174"/>
      <c r="O1" s="174"/>
      <c r="P1" s="174"/>
      <c r="Q1" s="174"/>
      <c r="R1" s="174"/>
      <c r="S1" s="174"/>
      <c r="T1" s="174"/>
      <c r="U1" s="174"/>
      <c r="V1" s="174"/>
      <c r="W1" s="174"/>
      <c r="X1" s="96"/>
      <c r="Y1" s="96"/>
      <c r="Z1" s="96"/>
      <c r="AA1" s="96"/>
      <c r="AB1" s="96"/>
      <c r="AC1" s="96"/>
      <c r="AD1" s="96"/>
      <c r="AE1" s="96"/>
      <c r="AF1" s="96"/>
      <c r="AG1" s="96"/>
      <c r="AH1" s="96"/>
      <c r="AI1" s="96"/>
      <c r="AJ1" s="96"/>
      <c r="AK1" s="96"/>
      <c r="AL1" s="96"/>
      <c r="AM1" s="96"/>
      <c r="AN1" s="96"/>
      <c r="AO1" s="96"/>
      <c r="AP1" s="96"/>
      <c r="AQ1" s="96"/>
      <c r="AR1" s="140"/>
      <c r="AS1" s="140"/>
      <c r="AT1" s="48"/>
      <c r="AU1" s="48"/>
      <c r="AV1" s="48"/>
      <c r="AW1" s="48"/>
      <c r="AX1" s="48"/>
    </row>
    <row r="2" spans="1:50">
      <c r="A2" s="174"/>
      <c r="B2" s="174"/>
      <c r="C2" s="174"/>
      <c r="D2" s="174"/>
      <c r="E2" s="174"/>
      <c r="F2" s="174"/>
      <c r="G2" s="174"/>
      <c r="H2" s="174"/>
      <c r="I2" s="174"/>
      <c r="J2" s="174"/>
      <c r="K2" s="174"/>
      <c r="L2" s="174"/>
      <c r="M2" s="174"/>
      <c r="N2" s="174"/>
      <c r="O2" s="174"/>
      <c r="P2" s="174"/>
      <c r="Q2" s="174"/>
      <c r="R2" s="174"/>
      <c r="S2" s="174"/>
      <c r="T2" s="174"/>
      <c r="U2" s="174"/>
      <c r="V2" s="174"/>
      <c r="W2" s="174"/>
      <c r="X2" s="96"/>
      <c r="Y2" s="96"/>
      <c r="Z2" s="96"/>
      <c r="AA2" s="96"/>
      <c r="AB2" s="96"/>
      <c r="AC2" s="96"/>
      <c r="AD2" s="96"/>
      <c r="AE2" s="96"/>
      <c r="AF2" s="96"/>
      <c r="AG2" s="96"/>
      <c r="AH2" s="96"/>
      <c r="AI2" s="96"/>
      <c r="AJ2" s="96"/>
      <c r="AK2" s="96"/>
      <c r="AL2" s="96"/>
      <c r="AM2" s="96"/>
      <c r="AN2" s="96"/>
      <c r="AO2" s="96"/>
      <c r="AP2" s="96"/>
      <c r="AQ2" s="96"/>
      <c r="AR2" s="140"/>
      <c r="AS2" s="140"/>
      <c r="AT2" s="48"/>
      <c r="AU2" s="48"/>
      <c r="AV2" s="48"/>
      <c r="AW2" s="48"/>
      <c r="AX2" s="48"/>
    </row>
    <row r="3" spans="1:50">
      <c r="A3" s="174"/>
      <c r="B3" s="174"/>
      <c r="C3" s="174"/>
      <c r="D3" s="174"/>
      <c r="E3" s="174"/>
      <c r="F3" s="174"/>
      <c r="G3" s="174"/>
      <c r="H3" s="174"/>
      <c r="I3" s="174"/>
      <c r="J3" s="174"/>
      <c r="K3" s="174"/>
      <c r="L3" s="174"/>
      <c r="M3" s="174"/>
      <c r="N3" s="174"/>
      <c r="O3" s="174"/>
      <c r="P3" s="174"/>
      <c r="Q3" s="174"/>
      <c r="R3" s="174"/>
      <c r="S3" s="174"/>
      <c r="T3" s="174"/>
      <c r="U3" s="174"/>
      <c r="V3" s="174"/>
      <c r="W3" s="174"/>
      <c r="X3" s="96"/>
      <c r="Y3" s="96"/>
      <c r="Z3" s="96"/>
      <c r="AA3" s="96"/>
      <c r="AB3" s="96"/>
      <c r="AC3" s="96"/>
      <c r="AD3" s="96"/>
      <c r="AE3" s="96"/>
      <c r="AF3" s="96"/>
      <c r="AG3" s="96"/>
      <c r="AH3" s="96"/>
      <c r="AI3" s="96"/>
      <c r="AJ3" s="96"/>
      <c r="AK3" s="96"/>
      <c r="AL3" s="96"/>
      <c r="AM3" s="96"/>
      <c r="AN3" s="96"/>
      <c r="AO3" s="96"/>
      <c r="AP3" s="96"/>
      <c r="AQ3" s="96"/>
      <c r="AR3" s="140"/>
      <c r="AS3" s="140"/>
      <c r="AT3" s="48"/>
      <c r="AU3" s="48"/>
      <c r="AV3" s="48"/>
      <c r="AW3" s="48"/>
      <c r="AX3" s="48"/>
    </row>
    <row r="4" spans="1:50">
      <c r="A4" s="174"/>
      <c r="B4" s="174"/>
      <c r="C4" s="174"/>
      <c r="D4" s="174"/>
      <c r="E4" s="174"/>
      <c r="F4" s="174"/>
      <c r="G4" s="174"/>
      <c r="H4" s="174"/>
      <c r="I4" s="174"/>
      <c r="J4" s="174"/>
      <c r="K4" s="174"/>
      <c r="L4" s="174"/>
      <c r="M4" s="174"/>
      <c r="N4" s="174"/>
      <c r="O4" s="174"/>
      <c r="P4" s="174"/>
      <c r="Q4" s="174"/>
      <c r="R4" s="174"/>
      <c r="S4" s="174"/>
      <c r="T4" s="174"/>
      <c r="U4" s="174"/>
      <c r="V4" s="174"/>
      <c r="W4" s="174"/>
      <c r="X4" s="96"/>
      <c r="Y4" s="96"/>
      <c r="Z4" s="96"/>
      <c r="AA4" s="96"/>
      <c r="AB4" s="96"/>
      <c r="AC4" s="96"/>
      <c r="AD4" s="96"/>
      <c r="AE4" s="96"/>
      <c r="AF4" s="96"/>
      <c r="AG4" s="96"/>
      <c r="AH4" s="96"/>
      <c r="AI4" s="96"/>
      <c r="AJ4" s="96"/>
      <c r="AK4" s="96"/>
      <c r="AL4" s="96"/>
      <c r="AM4" s="96"/>
      <c r="AN4" s="96"/>
      <c r="AO4" s="96"/>
      <c r="AP4" s="96"/>
      <c r="AQ4" s="96"/>
      <c r="AR4" s="140"/>
      <c r="AS4" s="140"/>
      <c r="AT4" s="48"/>
      <c r="AU4" s="48"/>
      <c r="AV4" s="48"/>
      <c r="AW4" s="48"/>
      <c r="AX4" s="48"/>
    </row>
    <row r="5" spans="1:50">
      <c r="A5" s="174"/>
      <c r="B5" s="174"/>
      <c r="C5" s="174"/>
      <c r="D5" s="174"/>
      <c r="E5" s="174"/>
      <c r="F5" s="174"/>
      <c r="G5" s="174"/>
      <c r="H5" s="174"/>
      <c r="I5" s="174"/>
      <c r="J5" s="174"/>
      <c r="K5" s="174"/>
      <c r="L5" s="174"/>
      <c r="M5" s="174"/>
      <c r="N5" s="174"/>
      <c r="O5" s="174"/>
      <c r="P5" s="174"/>
      <c r="Q5" s="174"/>
      <c r="R5" s="174"/>
      <c r="S5" s="174"/>
      <c r="T5" s="174"/>
      <c r="U5" s="174"/>
      <c r="V5" s="174"/>
      <c r="W5" s="174"/>
      <c r="X5" s="96"/>
      <c r="Y5" s="96"/>
      <c r="Z5" s="96"/>
      <c r="AA5" s="96"/>
      <c r="AB5" s="96"/>
      <c r="AC5" s="96"/>
      <c r="AD5" s="96"/>
      <c r="AE5" s="96"/>
      <c r="AF5" s="96"/>
      <c r="AG5" s="96"/>
      <c r="AH5" s="96"/>
      <c r="AI5" s="96"/>
      <c r="AJ5" s="96"/>
      <c r="AK5" s="96"/>
      <c r="AL5" s="96"/>
      <c r="AM5" s="96"/>
      <c r="AN5" s="96"/>
      <c r="AO5" s="96"/>
      <c r="AP5" s="96"/>
      <c r="AQ5" s="96"/>
      <c r="AR5" s="140"/>
      <c r="AS5" s="140"/>
      <c r="AT5" s="48"/>
      <c r="AU5" s="48"/>
      <c r="AV5" s="48"/>
      <c r="AW5" s="48"/>
      <c r="AX5" s="48"/>
    </row>
    <row r="6" spans="1:50">
      <c r="A6" s="174"/>
      <c r="B6" s="174"/>
      <c r="C6" s="174"/>
      <c r="D6" s="174"/>
      <c r="E6" s="174"/>
      <c r="F6" s="174"/>
      <c r="G6" s="174"/>
      <c r="H6" s="174"/>
      <c r="I6" s="174"/>
      <c r="J6" s="174"/>
      <c r="K6" s="174"/>
      <c r="L6" s="174"/>
      <c r="M6" s="174"/>
      <c r="N6" s="174"/>
      <c r="O6" s="174"/>
      <c r="P6" s="174"/>
      <c r="Q6" s="174"/>
      <c r="R6" s="174"/>
      <c r="S6" s="174"/>
      <c r="T6" s="174"/>
      <c r="U6" s="174"/>
      <c r="V6" s="174"/>
      <c r="W6" s="174"/>
      <c r="X6" s="96"/>
      <c r="Y6" s="96"/>
      <c r="Z6" s="96"/>
      <c r="AA6" s="96"/>
      <c r="AB6" s="96"/>
      <c r="AC6" s="96"/>
      <c r="AD6" s="96"/>
      <c r="AE6" s="96"/>
      <c r="AF6" s="96"/>
      <c r="AG6" s="96"/>
      <c r="AH6" s="96"/>
      <c r="AI6" s="96"/>
      <c r="AJ6" s="96"/>
      <c r="AK6" s="96"/>
      <c r="AL6" s="96"/>
      <c r="AM6" s="96"/>
      <c r="AN6" s="96"/>
      <c r="AO6" s="96"/>
      <c r="AP6" s="96"/>
      <c r="AQ6" s="96"/>
      <c r="AR6" s="140"/>
      <c r="AS6" s="140"/>
      <c r="AT6" s="48"/>
      <c r="AU6" s="48"/>
      <c r="AV6" s="48"/>
      <c r="AW6" s="48"/>
      <c r="AX6" s="48"/>
    </row>
    <row r="7" spans="1:50">
      <c r="A7" s="174"/>
      <c r="B7" s="174"/>
      <c r="C7" s="174"/>
      <c r="D7" s="174"/>
      <c r="E7" s="174"/>
      <c r="F7" s="174"/>
      <c r="G7" s="174"/>
      <c r="H7" s="174"/>
      <c r="I7" s="174"/>
      <c r="J7" s="174"/>
      <c r="K7" s="174"/>
      <c r="L7" s="174"/>
      <c r="M7" s="174"/>
      <c r="N7" s="174"/>
      <c r="O7" s="174"/>
      <c r="P7" s="174"/>
      <c r="Q7" s="174"/>
      <c r="R7" s="174"/>
      <c r="S7" s="174"/>
      <c r="T7" s="174"/>
      <c r="U7" s="174"/>
      <c r="V7" s="174"/>
      <c r="W7" s="174"/>
      <c r="X7" s="96"/>
      <c r="Y7" s="96"/>
      <c r="Z7" s="96"/>
      <c r="AA7" s="96"/>
      <c r="AB7" s="96"/>
      <c r="AC7" s="96"/>
      <c r="AD7" s="96"/>
      <c r="AE7" s="96"/>
      <c r="AF7" s="96"/>
      <c r="AG7" s="96"/>
      <c r="AH7" s="96"/>
      <c r="AI7" s="96"/>
      <c r="AJ7" s="96"/>
      <c r="AK7" s="96"/>
      <c r="AL7" s="96"/>
      <c r="AM7" s="96"/>
      <c r="AN7" s="96"/>
      <c r="AO7" s="96"/>
      <c r="AP7" s="96"/>
      <c r="AQ7" s="96"/>
      <c r="AR7" s="140"/>
      <c r="AS7" s="140"/>
      <c r="AT7" s="48"/>
      <c r="AU7" s="48"/>
      <c r="AV7" s="48"/>
      <c r="AW7" s="48"/>
      <c r="AX7" s="48"/>
    </row>
    <row r="8" spans="1:50">
      <c r="A8" s="174"/>
      <c r="B8" s="174"/>
      <c r="C8" s="174"/>
      <c r="D8" s="174"/>
      <c r="E8" s="174"/>
      <c r="F8" s="174"/>
      <c r="G8" s="174"/>
      <c r="H8" s="174"/>
      <c r="I8" s="174"/>
      <c r="J8" s="174"/>
      <c r="K8" s="174"/>
      <c r="L8" s="174"/>
      <c r="M8" s="174"/>
      <c r="N8" s="174"/>
      <c r="O8" s="174"/>
      <c r="P8" s="174"/>
      <c r="Q8" s="174"/>
      <c r="R8" s="174"/>
      <c r="S8" s="174"/>
      <c r="T8" s="174"/>
      <c r="U8" s="174"/>
      <c r="V8" s="174"/>
      <c r="W8" s="174"/>
      <c r="X8" s="96"/>
      <c r="Y8" s="96"/>
      <c r="Z8" s="96"/>
      <c r="AA8" s="96"/>
      <c r="AB8" s="96"/>
      <c r="AC8" s="96"/>
      <c r="AD8" s="96"/>
      <c r="AE8" s="96"/>
      <c r="AF8" s="96"/>
      <c r="AG8" s="96"/>
      <c r="AH8" s="96"/>
      <c r="AI8" s="96"/>
      <c r="AJ8" s="96"/>
      <c r="AK8" s="96"/>
      <c r="AL8" s="96"/>
      <c r="AM8" s="96"/>
      <c r="AN8" s="96"/>
      <c r="AO8" s="96"/>
      <c r="AP8" s="96"/>
      <c r="AQ8" s="96"/>
      <c r="AR8" s="140"/>
      <c r="AS8" s="140"/>
      <c r="AT8" s="48"/>
      <c r="AU8" s="48"/>
      <c r="AV8" s="48"/>
      <c r="AW8" s="48"/>
      <c r="AX8" s="48"/>
    </row>
    <row r="9" spans="1:50">
      <c r="A9" s="174"/>
      <c r="B9" s="174"/>
      <c r="C9" s="174"/>
      <c r="D9" s="174"/>
      <c r="E9" s="174"/>
      <c r="F9" s="174"/>
      <c r="G9" s="174"/>
      <c r="H9" s="174"/>
      <c r="I9" s="174"/>
      <c r="J9" s="174"/>
      <c r="K9" s="174"/>
      <c r="L9" s="174"/>
      <c r="M9" s="174"/>
      <c r="N9" s="174"/>
      <c r="O9" s="174"/>
      <c r="P9" s="174"/>
      <c r="Q9" s="174"/>
      <c r="R9" s="174"/>
      <c r="S9" s="174"/>
      <c r="T9" s="174"/>
      <c r="U9" s="174"/>
      <c r="V9" s="174"/>
      <c r="W9" s="174"/>
      <c r="X9" s="96"/>
      <c r="Y9" s="96"/>
      <c r="Z9" s="96"/>
      <c r="AA9" s="96"/>
      <c r="AB9" s="96"/>
      <c r="AC9" s="96"/>
      <c r="AD9" s="96"/>
      <c r="AE9" s="96"/>
      <c r="AF9" s="96"/>
      <c r="AG9" s="96"/>
      <c r="AH9" s="96"/>
      <c r="AI9" s="96"/>
      <c r="AJ9" s="96"/>
      <c r="AK9" s="96"/>
      <c r="AL9" s="96"/>
      <c r="AM9" s="96"/>
      <c r="AN9" s="96"/>
      <c r="AO9" s="96"/>
      <c r="AP9" s="96"/>
      <c r="AQ9" s="96"/>
      <c r="AR9" s="140"/>
      <c r="AS9" s="140"/>
      <c r="AT9" s="48"/>
      <c r="AU9" s="48"/>
      <c r="AV9" s="48"/>
      <c r="AW9" s="48"/>
      <c r="AX9" s="48"/>
    </row>
    <row r="10" spans="1:50">
      <c r="A10" s="174"/>
      <c r="B10" s="174"/>
      <c r="C10" s="174"/>
      <c r="D10" s="174"/>
      <c r="E10" s="174"/>
      <c r="F10" s="174"/>
      <c r="G10" s="174"/>
      <c r="H10" s="174"/>
      <c r="I10" s="174"/>
      <c r="J10" s="174"/>
      <c r="K10" s="174"/>
      <c r="L10" s="174"/>
      <c r="M10" s="174"/>
      <c r="N10" s="174"/>
      <c r="O10" s="174"/>
      <c r="P10" s="174"/>
      <c r="Q10" s="174"/>
      <c r="R10" s="174"/>
      <c r="S10" s="174"/>
      <c r="T10" s="174"/>
      <c r="U10" s="174"/>
      <c r="V10" s="174"/>
      <c r="W10" s="174"/>
      <c r="X10" s="96"/>
      <c r="Y10" s="96"/>
      <c r="Z10" s="96"/>
      <c r="AA10" s="96"/>
      <c r="AB10" s="96"/>
      <c r="AC10" s="96"/>
      <c r="AD10" s="96"/>
      <c r="AE10" s="96"/>
      <c r="AF10" s="96"/>
      <c r="AG10" s="96"/>
      <c r="AH10" s="96"/>
      <c r="AI10" s="96"/>
      <c r="AJ10" s="96"/>
      <c r="AK10" s="96"/>
      <c r="AL10" s="96"/>
      <c r="AM10" s="96"/>
      <c r="AN10" s="96"/>
      <c r="AO10" s="96"/>
      <c r="AP10" s="96"/>
      <c r="AQ10" s="96"/>
      <c r="AR10" s="140"/>
      <c r="AS10" s="140"/>
      <c r="AT10" s="48"/>
      <c r="AU10" s="48"/>
      <c r="AV10" s="48"/>
      <c r="AW10" s="48"/>
      <c r="AX10" s="48"/>
    </row>
    <row r="11" spans="1:50">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96"/>
      <c r="Y11" s="96"/>
      <c r="Z11" s="96"/>
      <c r="AA11" s="96"/>
      <c r="AB11" s="96"/>
      <c r="AC11" s="96"/>
      <c r="AD11" s="96"/>
      <c r="AE11" s="96"/>
      <c r="AF11" s="96"/>
      <c r="AG11" s="96"/>
      <c r="AH11" s="96"/>
      <c r="AI11" s="96"/>
      <c r="AJ11" s="96"/>
      <c r="AK11" s="96"/>
      <c r="AL11" s="96"/>
      <c r="AM11" s="96"/>
      <c r="AN11" s="96"/>
      <c r="AO11" s="96"/>
      <c r="AP11" s="96"/>
      <c r="AQ11" s="96"/>
      <c r="AR11" s="140"/>
      <c r="AS11" s="140"/>
      <c r="AT11" s="48"/>
      <c r="AU11" s="48"/>
      <c r="AV11" s="48"/>
      <c r="AW11" s="48"/>
      <c r="AX11" s="48"/>
    </row>
    <row r="12" spans="1:50">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96"/>
      <c r="Y12" s="96"/>
      <c r="Z12" s="96"/>
      <c r="AA12" s="96"/>
      <c r="AB12" s="96"/>
      <c r="AC12" s="96"/>
      <c r="AD12" s="96"/>
      <c r="AE12" s="96"/>
      <c r="AF12" s="96"/>
      <c r="AG12" s="96"/>
      <c r="AH12" s="96"/>
      <c r="AI12" s="96"/>
      <c r="AJ12" s="96"/>
      <c r="AK12" s="96"/>
      <c r="AL12" s="96"/>
      <c r="AM12" s="96"/>
      <c r="AN12" s="96"/>
      <c r="AO12" s="96"/>
      <c r="AP12" s="96"/>
      <c r="AQ12" s="96"/>
      <c r="AR12" s="140"/>
      <c r="AS12" s="140"/>
      <c r="AT12" s="48"/>
      <c r="AU12" s="48"/>
      <c r="AV12" s="48"/>
      <c r="AW12" s="48"/>
      <c r="AX12" s="48"/>
    </row>
    <row r="13" spans="1:50">
      <c r="A13" s="231"/>
      <c r="B13" s="231"/>
      <c r="C13" s="231"/>
      <c r="D13" s="231"/>
      <c r="E13" s="231"/>
      <c r="F13" s="231"/>
      <c r="G13" s="231"/>
      <c r="H13" s="231"/>
      <c r="I13" s="231"/>
      <c r="J13" s="231"/>
      <c r="K13" s="231"/>
      <c r="L13" s="231"/>
      <c r="M13" s="231"/>
      <c r="N13" s="231"/>
      <c r="O13" s="231"/>
      <c r="P13" s="231"/>
      <c r="Q13" s="231"/>
      <c r="R13" s="231"/>
      <c r="S13" s="231"/>
      <c r="T13" s="231"/>
      <c r="U13" s="231"/>
      <c r="V13" s="231"/>
      <c r="W13" s="174"/>
      <c r="X13" s="174"/>
      <c r="Y13" s="174"/>
      <c r="Z13" s="174"/>
      <c r="AA13" s="174"/>
      <c r="AB13" s="174"/>
      <c r="AC13" s="174"/>
      <c r="AD13" s="174"/>
      <c r="AE13" s="174"/>
      <c r="AF13" s="174"/>
      <c r="AG13" s="96"/>
      <c r="AH13" s="96"/>
      <c r="AI13" s="96"/>
      <c r="AJ13" s="96"/>
      <c r="AK13" s="96"/>
      <c r="AL13" s="96"/>
      <c r="AM13" s="96"/>
      <c r="AN13" s="96"/>
      <c r="AO13" s="96"/>
      <c r="AP13" s="96"/>
      <c r="AQ13" s="96"/>
      <c r="AR13" s="96"/>
      <c r="AS13" s="96"/>
      <c r="AT13" s="48"/>
      <c r="AU13" s="48"/>
      <c r="AV13" s="48"/>
      <c r="AW13" s="48"/>
      <c r="AX13" s="48"/>
    </row>
    <row r="14" spans="1:50">
      <c r="A14" s="231"/>
      <c r="B14" s="282"/>
      <c r="C14" s="283"/>
      <c r="D14" s="283"/>
      <c r="E14" s="283"/>
      <c r="F14" s="283"/>
      <c r="G14" s="283"/>
      <c r="H14" s="283"/>
      <c r="I14" s="283"/>
      <c r="J14" s="283"/>
      <c r="K14" s="283"/>
      <c r="L14" s="283"/>
      <c r="M14" s="283"/>
      <c r="N14" s="283"/>
      <c r="O14" s="283"/>
      <c r="P14" s="283"/>
      <c r="Q14" s="283"/>
      <c r="R14" s="283"/>
      <c r="S14" s="283"/>
      <c r="T14" s="283"/>
      <c r="U14" s="284"/>
      <c r="V14" s="231"/>
      <c r="W14" s="174"/>
      <c r="X14" s="174"/>
      <c r="Y14" s="174"/>
      <c r="Z14" s="174"/>
      <c r="AA14" s="174"/>
      <c r="AB14" s="174"/>
      <c r="AC14" s="174"/>
      <c r="AD14" s="174"/>
      <c r="AE14" s="174"/>
      <c r="AF14" s="174"/>
      <c r="AG14" s="96"/>
      <c r="AH14" s="96"/>
      <c r="AI14" s="96"/>
      <c r="AJ14" s="96"/>
      <c r="AK14" s="96"/>
      <c r="AL14" s="96"/>
      <c r="AM14" s="96"/>
      <c r="AN14" s="96"/>
      <c r="AO14" s="96"/>
      <c r="AP14" s="96"/>
      <c r="AQ14" s="96"/>
      <c r="AR14" s="96"/>
      <c r="AS14" s="96"/>
      <c r="AT14" s="48"/>
      <c r="AU14" s="48"/>
      <c r="AV14" s="48"/>
      <c r="AW14" s="48"/>
      <c r="AX14" s="48"/>
    </row>
    <row r="15" spans="1:50">
      <c r="A15" s="231"/>
      <c r="B15" s="285"/>
      <c r="C15" s="181"/>
      <c r="D15" s="181"/>
      <c r="E15" s="181"/>
      <c r="F15" s="181"/>
      <c r="G15" s="181"/>
      <c r="H15" s="181"/>
      <c r="I15" s="181"/>
      <c r="J15" s="181"/>
      <c r="K15" s="181"/>
      <c r="L15" s="181"/>
      <c r="M15" s="181"/>
      <c r="N15" s="181"/>
      <c r="O15" s="181"/>
      <c r="P15" s="181"/>
      <c r="Q15" s="181"/>
      <c r="R15" s="181"/>
      <c r="S15" s="181"/>
      <c r="T15" s="181"/>
      <c r="U15" s="286"/>
      <c r="V15" s="231"/>
      <c r="W15" s="174"/>
      <c r="X15" s="174"/>
      <c r="Y15" s="174"/>
      <c r="Z15" s="174"/>
      <c r="AA15" s="174"/>
      <c r="AB15" s="174"/>
      <c r="AC15" s="174"/>
      <c r="AD15" s="174"/>
      <c r="AE15" s="174"/>
      <c r="AF15" s="174"/>
      <c r="AG15" s="96"/>
      <c r="AH15" s="96"/>
      <c r="AI15" s="96"/>
      <c r="AJ15" s="96"/>
      <c r="AK15" s="96"/>
      <c r="AL15" s="96"/>
      <c r="AM15" s="96"/>
      <c r="AN15" s="96"/>
      <c r="AO15" s="96"/>
      <c r="AP15" s="96"/>
      <c r="AQ15" s="96"/>
      <c r="AR15" s="96"/>
      <c r="AS15" s="96"/>
      <c r="AT15" s="48"/>
      <c r="AU15" s="48"/>
      <c r="AV15" s="48"/>
      <c r="AW15" s="48"/>
      <c r="AX15" s="48"/>
    </row>
    <row r="16" spans="1:50" ht="15">
      <c r="A16" s="231"/>
      <c r="B16" s="285"/>
      <c r="C16" s="182"/>
      <c r="D16" s="182" t="s">
        <v>202</v>
      </c>
      <c r="E16" s="239"/>
      <c r="F16" s="571" t="str">
        <f>Consumos!D15</f>
        <v>HOUSING</v>
      </c>
      <c r="G16" s="571"/>
      <c r="H16" s="571"/>
      <c r="I16" s="182"/>
      <c r="J16" s="182"/>
      <c r="K16" s="182"/>
      <c r="L16" s="182"/>
      <c r="M16" s="182"/>
      <c r="N16" s="182"/>
      <c r="O16" s="182" t="s">
        <v>204</v>
      </c>
      <c r="P16" s="569" t="str">
        <f>Consumos!H15</f>
        <v>POLAND</v>
      </c>
      <c r="Q16" s="569"/>
      <c r="R16" s="569"/>
      <c r="S16" s="569"/>
      <c r="T16" s="287"/>
      <c r="U16" s="286"/>
      <c r="V16" s="231"/>
      <c r="W16" s="174"/>
      <c r="X16" s="174"/>
      <c r="Y16" s="174"/>
      <c r="Z16" s="174"/>
      <c r="AA16" s="174"/>
      <c r="AB16" s="174"/>
      <c r="AC16" s="174"/>
      <c r="AD16" s="174"/>
      <c r="AE16" s="174"/>
      <c r="AF16" s="174"/>
      <c r="AG16" s="96"/>
      <c r="AH16" s="96"/>
      <c r="AI16" s="96"/>
      <c r="AJ16" s="96"/>
      <c r="AK16" s="96"/>
      <c r="AL16" s="96"/>
      <c r="AM16" s="96"/>
      <c r="AN16" s="96"/>
      <c r="AO16" s="96"/>
      <c r="AP16" s="96"/>
      <c r="AQ16" s="96"/>
      <c r="AR16" s="96"/>
      <c r="AS16" s="96"/>
      <c r="AT16" s="48"/>
      <c r="AU16" s="48"/>
      <c r="AV16" s="48"/>
      <c r="AW16" s="48"/>
      <c r="AX16" s="48"/>
    </row>
    <row r="17" spans="1:50">
      <c r="A17" s="231"/>
      <c r="B17" s="285"/>
      <c r="C17" s="184"/>
      <c r="D17" s="184"/>
      <c r="E17" s="184"/>
      <c r="F17" s="184"/>
      <c r="G17" s="184"/>
      <c r="H17" s="184"/>
      <c r="I17" s="184"/>
      <c r="J17" s="184"/>
      <c r="K17" s="184"/>
      <c r="L17" s="184"/>
      <c r="M17" s="184"/>
      <c r="N17" s="184"/>
      <c r="O17" s="184"/>
      <c r="P17" s="184"/>
      <c r="Q17" s="184"/>
      <c r="R17" s="184"/>
      <c r="S17" s="184"/>
      <c r="T17" s="184"/>
      <c r="U17" s="286"/>
      <c r="V17" s="231"/>
      <c r="W17" s="174"/>
      <c r="X17" s="174"/>
      <c r="Y17" s="174"/>
      <c r="Z17" s="174"/>
      <c r="AA17" s="174"/>
      <c r="AB17" s="174"/>
      <c r="AC17" s="174"/>
      <c r="AD17" s="174"/>
      <c r="AE17" s="174"/>
      <c r="AF17" s="174"/>
      <c r="AG17" s="96"/>
      <c r="AH17" s="96"/>
      <c r="AI17" s="96"/>
      <c r="AJ17" s="96"/>
      <c r="AK17" s="96"/>
      <c r="AL17" s="96"/>
      <c r="AM17" s="96"/>
      <c r="AN17" s="96"/>
      <c r="AO17" s="96"/>
      <c r="AP17" s="96"/>
      <c r="AQ17" s="96"/>
      <c r="AR17" s="96"/>
      <c r="AS17" s="96"/>
      <c r="AT17" s="48"/>
      <c r="AU17" s="48"/>
      <c r="AV17" s="48"/>
      <c r="AW17" s="48"/>
      <c r="AX17" s="48"/>
    </row>
    <row r="18" spans="1:50" ht="15">
      <c r="A18" s="231"/>
      <c r="B18" s="285"/>
      <c r="C18" s="182"/>
      <c r="D18" s="182" t="s">
        <v>203</v>
      </c>
      <c r="E18" s="239"/>
      <c r="F18" s="572" t="str">
        <f>Consumos!D17</f>
        <v>VIPSKILLS</v>
      </c>
      <c r="G18" s="572"/>
      <c r="H18" s="572"/>
      <c r="I18" s="182"/>
      <c r="J18" s="182"/>
      <c r="K18" s="182"/>
      <c r="L18" s="182"/>
      <c r="M18" s="182"/>
      <c r="N18" s="182"/>
      <c r="O18" s="182" t="s">
        <v>205</v>
      </c>
      <c r="P18" s="570">
        <f>Consumos!H17</f>
        <v>43285</v>
      </c>
      <c r="Q18" s="570"/>
      <c r="R18" s="570"/>
      <c r="S18" s="570"/>
      <c r="T18" s="288"/>
      <c r="U18" s="286"/>
      <c r="V18" s="231"/>
      <c r="W18" s="174"/>
      <c r="X18" s="174"/>
      <c r="Y18" s="174"/>
      <c r="Z18" s="174"/>
      <c r="AA18" s="174"/>
      <c r="AB18" s="174"/>
      <c r="AC18" s="174"/>
      <c r="AD18" s="174"/>
      <c r="AE18" s="174"/>
      <c r="AF18" s="174"/>
      <c r="AG18" s="96"/>
      <c r="AH18" s="96"/>
      <c r="AI18" s="96"/>
      <c r="AJ18" s="96"/>
      <c r="AK18" s="96"/>
      <c r="AL18" s="96"/>
      <c r="AM18" s="96"/>
      <c r="AN18" s="96"/>
      <c r="AO18" s="96"/>
      <c r="AP18" s="96"/>
      <c r="AQ18" s="96"/>
      <c r="AR18" s="96"/>
      <c r="AS18" s="96"/>
      <c r="AT18" s="48"/>
      <c r="AU18" s="48"/>
      <c r="AV18" s="48"/>
      <c r="AW18" s="48"/>
      <c r="AX18" s="48"/>
    </row>
    <row r="19" spans="1:50" ht="20.25">
      <c r="A19" s="231"/>
      <c r="B19" s="285"/>
      <c r="C19" s="240"/>
      <c r="D19" s="188"/>
      <c r="E19" s="188"/>
      <c r="F19" s="184"/>
      <c r="G19" s="184"/>
      <c r="H19" s="184"/>
      <c r="I19" s="184"/>
      <c r="J19" s="184"/>
      <c r="K19" s="184"/>
      <c r="L19" s="184"/>
      <c r="M19" s="184"/>
      <c r="N19" s="184"/>
      <c r="O19" s="184"/>
      <c r="P19" s="184"/>
      <c r="Q19" s="184"/>
      <c r="R19" s="184"/>
      <c r="S19" s="184"/>
      <c r="T19" s="184"/>
      <c r="U19" s="286"/>
      <c r="V19" s="231"/>
      <c r="W19" s="174"/>
      <c r="X19" s="174"/>
      <c r="Y19" s="174"/>
      <c r="Z19" s="174"/>
      <c r="AA19" s="174"/>
      <c r="AB19" s="174"/>
      <c r="AC19" s="174"/>
      <c r="AD19" s="174"/>
      <c r="AE19" s="174"/>
      <c r="AF19" s="174"/>
      <c r="AG19" s="96"/>
      <c r="AH19" s="96"/>
      <c r="AI19" s="96"/>
      <c r="AJ19" s="96"/>
      <c r="AK19" s="96"/>
      <c r="AL19" s="96"/>
      <c r="AM19" s="96"/>
      <c r="AN19" s="96"/>
      <c r="AO19" s="96"/>
      <c r="AP19" s="96"/>
      <c r="AQ19" s="96"/>
      <c r="AR19" s="96"/>
      <c r="AS19" s="96"/>
      <c r="AT19" s="48"/>
      <c r="AU19" s="48"/>
      <c r="AV19" s="48"/>
      <c r="AW19" s="48"/>
      <c r="AX19" s="48"/>
    </row>
    <row r="20" spans="1:50">
      <c r="A20" s="231"/>
      <c r="B20" s="285"/>
      <c r="C20" s="184"/>
      <c r="D20" s="184"/>
      <c r="E20" s="184"/>
      <c r="F20" s="184"/>
      <c r="G20" s="184"/>
      <c r="H20" s="184"/>
      <c r="I20" s="184"/>
      <c r="J20" s="184"/>
      <c r="K20" s="184"/>
      <c r="L20" s="184"/>
      <c r="M20" s="184"/>
      <c r="N20" s="289"/>
      <c r="O20" s="289"/>
      <c r="P20" s="184"/>
      <c r="Q20" s="184"/>
      <c r="R20" s="184"/>
      <c r="S20" s="184"/>
      <c r="T20" s="184"/>
      <c r="U20" s="286"/>
      <c r="V20" s="231"/>
      <c r="W20" s="174"/>
      <c r="X20" s="174"/>
      <c r="Y20" s="174"/>
      <c r="Z20" s="174"/>
      <c r="AA20" s="174"/>
      <c r="AB20" s="174"/>
      <c r="AC20" s="174"/>
      <c r="AD20" s="174"/>
      <c r="AE20" s="174"/>
      <c r="AF20" s="174"/>
      <c r="AG20" s="96"/>
      <c r="AH20" s="96"/>
      <c r="AI20" s="96"/>
      <c r="AJ20" s="96"/>
      <c r="AK20" s="96"/>
      <c r="AL20" s="96"/>
      <c r="AM20" s="96"/>
      <c r="AN20" s="96"/>
      <c r="AO20" s="96"/>
      <c r="AP20" s="96"/>
      <c r="AQ20" s="96"/>
      <c r="AR20" s="96"/>
      <c r="AS20" s="96"/>
      <c r="AT20" s="48"/>
      <c r="AU20" s="48"/>
      <c r="AV20" s="48"/>
      <c r="AW20" s="48"/>
      <c r="AX20" s="48"/>
    </row>
    <row r="21" spans="1:50" ht="20.25">
      <c r="A21" s="231"/>
      <c r="B21" s="285"/>
      <c r="C21" s="562" t="s">
        <v>239</v>
      </c>
      <c r="D21" s="562"/>
      <c r="E21" s="562"/>
      <c r="F21" s="562"/>
      <c r="G21" s="562"/>
      <c r="H21" s="562"/>
      <c r="I21" s="562"/>
      <c r="J21" s="562"/>
      <c r="K21" s="562"/>
      <c r="L21" s="562"/>
      <c r="M21" s="562"/>
      <c r="N21" s="289"/>
      <c r="O21" s="291" t="s">
        <v>204</v>
      </c>
      <c r="P21" s="292" t="s">
        <v>13</v>
      </c>
      <c r="Q21" s="293"/>
      <c r="R21" s="291" t="s">
        <v>0</v>
      </c>
      <c r="S21" s="294">
        <f>VLOOKUP(P24,Radiación!A3:O35,15,FALSE)</f>
        <v>-33</v>
      </c>
      <c r="T21" s="184"/>
      <c r="U21" s="286"/>
      <c r="V21" s="231"/>
      <c r="W21" s="174"/>
      <c r="X21" s="174"/>
      <c r="Y21" s="174"/>
      <c r="Z21" s="174"/>
      <c r="AA21" s="174"/>
      <c r="AB21" s="174"/>
      <c r="AC21" s="174"/>
      <c r="AD21" s="174"/>
      <c r="AE21" s="174"/>
      <c r="AF21" s="174"/>
      <c r="AG21" s="96"/>
      <c r="AH21" s="96"/>
      <c r="AI21" s="96"/>
      <c r="AJ21" s="96"/>
      <c r="AK21" s="96"/>
      <c r="AL21" s="96"/>
      <c r="AM21" s="96"/>
      <c r="AN21" s="96"/>
      <c r="AO21" s="96"/>
      <c r="AP21" s="96"/>
      <c r="AQ21" s="96"/>
      <c r="AR21" s="96"/>
      <c r="AS21" s="96"/>
      <c r="AT21" s="48"/>
      <c r="AU21" s="48"/>
      <c r="AV21" s="48"/>
      <c r="AW21" s="48"/>
      <c r="AX21" s="48"/>
    </row>
    <row r="22" spans="1:50" ht="15.75">
      <c r="A22" s="231"/>
      <c r="B22" s="285"/>
      <c r="C22" s="290"/>
      <c r="D22" s="290"/>
      <c r="E22" s="290"/>
      <c r="F22" s="290"/>
      <c r="G22" s="181"/>
      <c r="H22" s="184"/>
      <c r="I22" s="184"/>
      <c r="J22" s="184"/>
      <c r="K22" s="184"/>
      <c r="L22" s="184"/>
      <c r="M22" s="184"/>
      <c r="N22" s="289"/>
      <c r="O22" s="295"/>
      <c r="P22" s="293"/>
      <c r="Q22" s="293"/>
      <c r="R22" s="295"/>
      <c r="S22" s="296"/>
      <c r="T22" s="184"/>
      <c r="U22" s="286"/>
      <c r="V22" s="231"/>
      <c r="W22" s="174"/>
      <c r="X22" s="174"/>
      <c r="Y22" s="174"/>
      <c r="Z22" s="174"/>
      <c r="AA22" s="174"/>
      <c r="AB22" s="174"/>
      <c r="AC22" s="174"/>
      <c r="AD22" s="174"/>
      <c r="AE22" s="174"/>
      <c r="AF22" s="174"/>
      <c r="AG22" s="96"/>
      <c r="AH22" s="96"/>
      <c r="AI22" s="96"/>
      <c r="AJ22" s="96"/>
      <c r="AK22" s="96"/>
      <c r="AL22" s="96"/>
      <c r="AM22" s="96"/>
      <c r="AN22" s="96"/>
      <c r="AO22" s="96"/>
      <c r="AP22" s="96"/>
      <c r="AQ22" s="96"/>
      <c r="AR22" s="96"/>
      <c r="AS22" s="96"/>
      <c r="AT22" s="48"/>
      <c r="AU22" s="48"/>
      <c r="AV22" s="48"/>
      <c r="AW22" s="48"/>
      <c r="AX22" s="48"/>
    </row>
    <row r="23" spans="1:50">
      <c r="A23" s="231"/>
      <c r="B23" s="285"/>
      <c r="C23" s="290"/>
      <c r="D23" s="290"/>
      <c r="E23" s="290"/>
      <c r="F23" s="290"/>
      <c r="G23" s="181"/>
      <c r="H23" s="184"/>
      <c r="I23" s="184"/>
      <c r="J23" s="184"/>
      <c r="K23" s="184"/>
      <c r="L23" s="184"/>
      <c r="M23" s="184"/>
      <c r="N23" s="184"/>
      <c r="O23" s="184"/>
      <c r="P23" s="184"/>
      <c r="Q23" s="184"/>
      <c r="R23" s="184"/>
      <c r="S23" s="184"/>
      <c r="T23" s="184"/>
      <c r="U23" s="286"/>
      <c r="V23" s="231"/>
      <c r="W23" s="174"/>
      <c r="X23" s="174"/>
      <c r="Y23" s="174"/>
      <c r="Z23" s="174"/>
      <c r="AA23" s="174"/>
      <c r="AB23" s="174"/>
      <c r="AC23" s="174"/>
      <c r="AD23" s="174"/>
      <c r="AE23" s="174"/>
      <c r="AF23" s="174"/>
      <c r="AG23" s="96"/>
      <c r="AH23" s="96"/>
      <c r="AI23" s="96"/>
      <c r="AJ23" s="96"/>
      <c r="AK23" s="96"/>
      <c r="AL23" s="96"/>
      <c r="AM23" s="96"/>
      <c r="AN23" s="96"/>
      <c r="AO23" s="96"/>
      <c r="AP23" s="96"/>
      <c r="AQ23" s="96"/>
      <c r="AR23" s="96"/>
      <c r="AS23" s="96"/>
      <c r="AT23" s="48"/>
      <c r="AU23" s="48"/>
      <c r="AV23" s="48"/>
      <c r="AW23" s="48"/>
      <c r="AX23" s="48"/>
    </row>
    <row r="24" spans="1:50">
      <c r="A24" s="231"/>
      <c r="B24" s="285"/>
      <c r="C24" s="184"/>
      <c r="D24" s="184"/>
      <c r="E24" s="184"/>
      <c r="F24" s="184"/>
      <c r="G24" s="184"/>
      <c r="H24" s="184"/>
      <c r="I24" s="184"/>
      <c r="J24" s="184"/>
      <c r="K24" s="184"/>
      <c r="L24" s="184"/>
      <c r="M24" s="184"/>
      <c r="N24" s="184"/>
      <c r="O24" s="184"/>
      <c r="P24" s="174">
        <v>1</v>
      </c>
      <c r="Q24" s="184"/>
      <c r="R24" s="184"/>
      <c r="S24" s="184"/>
      <c r="T24" s="184"/>
      <c r="U24" s="286"/>
      <c r="V24" s="231"/>
      <c r="W24" s="174"/>
      <c r="X24" s="174"/>
      <c r="Y24" s="174"/>
      <c r="Z24" s="174"/>
      <c r="AA24" s="174"/>
      <c r="AB24" s="174"/>
      <c r="AC24" s="174"/>
      <c r="AD24" s="174"/>
      <c r="AE24" s="174"/>
      <c r="AF24" s="174"/>
      <c r="AG24" s="96"/>
      <c r="AH24" s="96"/>
      <c r="AI24" s="96"/>
      <c r="AJ24" s="96"/>
      <c r="AK24" s="96"/>
      <c r="AL24" s="96"/>
      <c r="AM24" s="96"/>
      <c r="AN24" s="96"/>
      <c r="AO24" s="96"/>
      <c r="AP24" s="96"/>
      <c r="AQ24" s="96"/>
      <c r="AR24" s="96"/>
      <c r="AS24" s="96"/>
      <c r="AT24" s="48"/>
      <c r="AU24" s="48"/>
      <c r="AV24" s="48"/>
      <c r="AW24" s="48"/>
      <c r="AX24" s="48"/>
    </row>
    <row r="25" spans="1:50">
      <c r="A25" s="231"/>
      <c r="B25" s="285"/>
      <c r="C25" s="184"/>
      <c r="D25" s="184"/>
      <c r="E25" s="184"/>
      <c r="F25" s="184"/>
      <c r="G25" s="184"/>
      <c r="H25" s="184"/>
      <c r="I25" s="184"/>
      <c r="J25" s="184"/>
      <c r="K25" s="184"/>
      <c r="L25" s="184"/>
      <c r="M25" s="184"/>
      <c r="N25" s="184"/>
      <c r="O25" s="184"/>
      <c r="P25" s="184"/>
      <c r="Q25" s="184"/>
      <c r="R25" s="184"/>
      <c r="S25" s="184"/>
      <c r="T25" s="184"/>
      <c r="U25" s="286"/>
      <c r="V25" s="231"/>
      <c r="W25" s="174"/>
      <c r="X25" s="174"/>
      <c r="Y25" s="174"/>
      <c r="Z25" s="174"/>
      <c r="AA25" s="174"/>
      <c r="AB25" s="174"/>
      <c r="AC25" s="174"/>
      <c r="AD25" s="174"/>
      <c r="AE25" s="174"/>
      <c r="AF25" s="174"/>
      <c r="AG25" s="96"/>
      <c r="AH25" s="96"/>
      <c r="AI25" s="96"/>
      <c r="AJ25" s="96"/>
      <c r="AK25" s="96"/>
      <c r="AL25" s="96"/>
      <c r="AM25" s="96"/>
      <c r="AN25" s="96"/>
      <c r="AO25" s="96"/>
      <c r="AP25" s="96"/>
      <c r="AQ25" s="96"/>
      <c r="AR25" s="96"/>
      <c r="AS25" s="96"/>
      <c r="AT25" s="48"/>
      <c r="AU25" s="48"/>
      <c r="AV25" s="48"/>
      <c r="AW25" s="48"/>
      <c r="AX25" s="48"/>
    </row>
    <row r="26" spans="1:50" ht="15.75">
      <c r="A26" s="231"/>
      <c r="B26" s="285"/>
      <c r="C26" s="184"/>
      <c r="D26" s="297"/>
      <c r="E26" s="184"/>
      <c r="F26" s="184"/>
      <c r="G26" s="295" t="s">
        <v>246</v>
      </c>
      <c r="H26" s="294">
        <v>19</v>
      </c>
      <c r="I26" s="184"/>
      <c r="J26" s="184"/>
      <c r="K26" s="184"/>
      <c r="L26" s="184"/>
      <c r="M26" s="184"/>
      <c r="N26" s="184"/>
      <c r="O26" s="184"/>
      <c r="P26" s="184"/>
      <c r="Q26" s="184"/>
      <c r="R26" s="184"/>
      <c r="S26" s="184"/>
      <c r="T26" s="184"/>
      <c r="U26" s="286"/>
      <c r="V26" s="231"/>
      <c r="W26" s="174"/>
      <c r="X26" s="174"/>
      <c r="Y26" s="174"/>
      <c r="Z26" s="174"/>
      <c r="AA26" s="174"/>
      <c r="AB26" s="174"/>
      <c r="AC26" s="174"/>
      <c r="AD26" s="174"/>
      <c r="AE26" s="174"/>
      <c r="AF26" s="174"/>
      <c r="AG26" s="96"/>
      <c r="AH26" s="96"/>
      <c r="AI26" s="96"/>
      <c r="AJ26" s="96"/>
      <c r="AK26" s="96"/>
      <c r="AL26" s="96"/>
      <c r="AM26" s="96"/>
      <c r="AN26" s="96"/>
      <c r="AO26" s="96"/>
      <c r="AP26" s="96"/>
      <c r="AQ26" s="96"/>
      <c r="AR26" s="96"/>
      <c r="AS26" s="96"/>
      <c r="AT26" s="48"/>
      <c r="AU26" s="48"/>
      <c r="AV26" s="48"/>
      <c r="AW26" s="48"/>
      <c r="AX26" s="48"/>
    </row>
    <row r="27" spans="1:50" ht="45">
      <c r="A27" s="231"/>
      <c r="B27" s="285"/>
      <c r="C27" s="184"/>
      <c r="D27" s="298" t="s">
        <v>1</v>
      </c>
      <c r="E27" s="299" t="s">
        <v>240</v>
      </c>
      <c r="F27" s="299" t="str">
        <f>IF($O$24=2,"","Consumo total diario Ah/dia")</f>
        <v>Consumo total diario Ah/dia</v>
      </c>
      <c r="G27" s="299" t="s">
        <v>241</v>
      </c>
      <c r="H27" s="300" t="s">
        <v>242</v>
      </c>
      <c r="I27" s="184"/>
      <c r="J27" s="184"/>
      <c r="K27" s="184"/>
      <c r="L27" s="184"/>
      <c r="M27" s="184"/>
      <c r="N27" s="462" t="s">
        <v>248</v>
      </c>
      <c r="O27" s="462"/>
      <c r="P27" s="301">
        <f>3.7+(-0.69*S21)</f>
        <v>26.47</v>
      </c>
      <c r="Q27" s="302"/>
      <c r="R27" s="462" t="s">
        <v>252</v>
      </c>
      <c r="S27" s="462"/>
      <c r="T27" s="303">
        <f>-(S21+20)</f>
        <v>13</v>
      </c>
      <c r="U27" s="304"/>
      <c r="V27" s="231"/>
      <c r="W27" s="174"/>
      <c r="X27" s="174"/>
      <c r="Y27" s="174"/>
      <c r="Z27" s="174"/>
      <c r="AA27" s="174"/>
      <c r="AB27" s="174"/>
      <c r="AC27" s="174"/>
      <c r="AD27" s="174"/>
      <c r="AE27" s="174"/>
      <c r="AF27" s="174"/>
      <c r="AG27" s="96"/>
      <c r="AH27" s="96"/>
      <c r="AI27" s="96"/>
      <c r="AJ27" s="96"/>
      <c r="AK27" s="96"/>
      <c r="AL27" s="96"/>
      <c r="AM27" s="96"/>
      <c r="AN27" s="96"/>
      <c r="AO27" s="96"/>
      <c r="AP27" s="96"/>
      <c r="AQ27" s="96"/>
      <c r="AR27" s="96"/>
      <c r="AS27" s="96"/>
      <c r="AT27" s="48"/>
      <c r="AU27" s="48"/>
      <c r="AV27" s="48"/>
      <c r="AW27" s="48"/>
      <c r="AX27" s="48"/>
    </row>
    <row r="28" spans="1:50" ht="41.25" customHeight="1">
      <c r="A28" s="231"/>
      <c r="B28" s="285"/>
      <c r="C28" s="184"/>
      <c r="D28" s="305" t="s">
        <v>243</v>
      </c>
      <c r="E28" s="326"/>
      <c r="F28" s="28">
        <f>IF($O$24=2,"",Consumos!$K$46)</f>
        <v>118.63729499186567</v>
      </c>
      <c r="G28" s="29">
        <f>Radiación!C87/31/86.01</f>
        <v>5.4182414820366018</v>
      </c>
      <c r="H28" s="28">
        <f t="shared" ref="H28:H39" si="0">IF($O$24=2,E28/G28,F28/G28)</f>
        <v>21.895903935841641</v>
      </c>
      <c r="I28" s="306">
        <f>E28</f>
        <v>0</v>
      </c>
      <c r="J28" s="191">
        <f>G28</f>
        <v>5.4182414820366018</v>
      </c>
      <c r="K28" s="184" t="str">
        <f>D28</f>
        <v>enero</v>
      </c>
      <c r="L28" s="184">
        <f>G28*31</f>
        <v>167.96548594313467</v>
      </c>
      <c r="M28" s="184"/>
      <c r="N28" s="307" t="s">
        <v>249</v>
      </c>
      <c r="O28" s="308" t="s">
        <v>255</v>
      </c>
      <c r="P28" s="308" t="s">
        <v>1</v>
      </c>
      <c r="Q28" s="309"/>
      <c r="R28" s="310" t="s">
        <v>251</v>
      </c>
      <c r="S28" s="308" t="s">
        <v>255</v>
      </c>
      <c r="T28" s="310" t="s">
        <v>1</v>
      </c>
      <c r="U28" s="304"/>
      <c r="V28" s="231"/>
      <c r="W28" s="174"/>
      <c r="X28" s="174"/>
      <c r="Y28" s="174"/>
      <c r="Z28" s="174"/>
      <c r="AA28" s="174"/>
      <c r="AB28" s="174"/>
      <c r="AC28" s="174"/>
      <c r="AD28" s="174"/>
      <c r="AE28" s="174"/>
      <c r="AF28" s="174"/>
      <c r="AG28" s="96"/>
      <c r="AH28" s="96"/>
      <c r="AI28" s="96"/>
      <c r="AJ28" s="96"/>
      <c r="AK28" s="96"/>
      <c r="AL28" s="96"/>
      <c r="AM28" s="96"/>
      <c r="AN28" s="96"/>
      <c r="AO28" s="96"/>
      <c r="AP28" s="96"/>
      <c r="AQ28" s="96"/>
      <c r="AR28" s="96"/>
      <c r="AS28" s="96"/>
      <c r="AT28" s="48"/>
      <c r="AU28" s="48"/>
      <c r="AV28" s="48"/>
      <c r="AW28" s="48"/>
      <c r="AX28" s="48"/>
    </row>
    <row r="29" spans="1:50" ht="18.75">
      <c r="A29" s="231"/>
      <c r="B29" s="285"/>
      <c r="C29" s="184"/>
      <c r="D29" s="305" t="s">
        <v>3</v>
      </c>
      <c r="E29" s="327"/>
      <c r="F29" s="28">
        <f>IF($O$24=2,"",Consumos!$K$46)</f>
        <v>118.63729499186567</v>
      </c>
      <c r="G29" s="29">
        <f>Radiación!D87/28/86.01</f>
        <v>5.2241470882657488</v>
      </c>
      <c r="H29" s="28">
        <f t="shared" si="0"/>
        <v>22.709409399736003</v>
      </c>
      <c r="I29" s="306">
        <f t="shared" ref="I29:I39" si="1">E29</f>
        <v>0</v>
      </c>
      <c r="J29" s="191">
        <f t="shared" ref="J29:J39" si="2">G29</f>
        <v>5.2241470882657488</v>
      </c>
      <c r="K29" s="184" t="str">
        <f t="shared" ref="K29:K39" si="3">D29</f>
        <v>Febrero</v>
      </c>
      <c r="L29" s="184">
        <f>G29*28</f>
        <v>146.27611847144095</v>
      </c>
      <c r="M29" s="184"/>
      <c r="N29" s="128">
        <f>IF(O29=0,"",IF($O$24=2,VLOOKUP(O29,AA39:AC43,2,FALSE),VLOOKUP(O29,AA39:AC43,2,FALSE)))</f>
        <v>3.5283038457677769</v>
      </c>
      <c r="O29" s="129">
        <f>MAX(AA39:AA43)</f>
        <v>33.624455312762215</v>
      </c>
      <c r="P29" s="129" t="str">
        <f>IF(O29=0,"",VLOOKUP(O29,AA39:AC43,3,FALSE))</f>
        <v>March</v>
      </c>
      <c r="Q29" s="98"/>
      <c r="R29" s="130">
        <f>IF(S29=0,"",IF($O$24=2,VLOOKUP(S29,AO39:AQ43,2,FALSE),VLOOKUP(S29,AO39:AQ43,2,FALSE)))</f>
        <v>3.9671012563977661</v>
      </c>
      <c r="S29" s="131">
        <f>MAX(AO40:AO44)</f>
        <v>29.905285326543822</v>
      </c>
      <c r="T29" s="131" t="str">
        <f>IF(S29=0,"",VLOOKUP(S29,AO39:AQ43,3,FALSE))</f>
        <v>Marzo</v>
      </c>
      <c r="U29" s="304"/>
      <c r="V29" s="231"/>
      <c r="W29" s="174"/>
      <c r="X29" s="174"/>
      <c r="Y29" s="174"/>
      <c r="Z29" s="174"/>
      <c r="AA29" s="174"/>
      <c r="AB29" s="174"/>
      <c r="AC29" s="174"/>
      <c r="AD29" s="174"/>
      <c r="AE29" s="174"/>
      <c r="AF29" s="174"/>
      <c r="AG29" s="96"/>
      <c r="AH29" s="96"/>
      <c r="AI29" s="96"/>
      <c r="AJ29" s="96"/>
      <c r="AK29" s="96"/>
      <c r="AL29" s="96"/>
      <c r="AM29" s="96"/>
      <c r="AN29" s="96"/>
      <c r="AO29" s="96"/>
      <c r="AP29" s="96"/>
      <c r="AQ29" s="96"/>
      <c r="AR29" s="96"/>
      <c r="AS29" s="96"/>
      <c r="AT29" s="48"/>
      <c r="AU29" s="48"/>
      <c r="AV29" s="48"/>
      <c r="AW29" s="48"/>
      <c r="AX29" s="48"/>
    </row>
    <row r="30" spans="1:50" ht="15">
      <c r="A30" s="231"/>
      <c r="B30" s="285"/>
      <c r="C30" s="184"/>
      <c r="D30" s="305" t="s">
        <v>4</v>
      </c>
      <c r="E30" s="327"/>
      <c r="F30" s="28">
        <f>IF($O$24=2,"",Consumos!$K$46)</f>
        <v>118.63729499186567</v>
      </c>
      <c r="G30" s="29">
        <f>(Radiación!E87/31)/86.01</f>
        <v>3.7863889672700011</v>
      </c>
      <c r="H30" s="28">
        <f t="shared" si="0"/>
        <v>31.332569373453346</v>
      </c>
      <c r="I30" s="306">
        <f t="shared" si="1"/>
        <v>0</v>
      </c>
      <c r="J30" s="191">
        <f t="shared" si="2"/>
        <v>3.7863889672700011</v>
      </c>
      <c r="K30" s="184" t="str">
        <f t="shared" si="3"/>
        <v>Marzo</v>
      </c>
      <c r="L30" s="184">
        <f>G30*31</f>
        <v>117.37805798537003</v>
      </c>
      <c r="M30" s="184"/>
      <c r="N30" s="184"/>
      <c r="O30" s="184"/>
      <c r="P30" s="184"/>
      <c r="Q30" s="184"/>
      <c r="R30" s="184"/>
      <c r="S30" s="184"/>
      <c r="T30" s="184"/>
      <c r="U30" s="286"/>
      <c r="V30" s="231"/>
      <c r="W30" s="174"/>
      <c r="X30" s="174"/>
      <c r="Y30" s="174"/>
      <c r="Z30" s="174"/>
      <c r="AA30" s="174"/>
      <c r="AB30" s="174"/>
      <c r="AC30" s="174"/>
      <c r="AD30" s="174"/>
      <c r="AE30" s="174"/>
      <c r="AF30" s="174"/>
      <c r="AG30" s="96"/>
      <c r="AH30" s="96"/>
      <c r="AI30" s="96"/>
      <c r="AJ30" s="96"/>
      <c r="AK30" s="96"/>
      <c r="AL30" s="96"/>
      <c r="AM30" s="96"/>
      <c r="AN30" s="96"/>
      <c r="AO30" s="96"/>
      <c r="AP30" s="96"/>
      <c r="AQ30" s="96"/>
      <c r="AR30" s="96"/>
      <c r="AS30" s="96"/>
      <c r="AT30" s="48"/>
      <c r="AU30" s="48"/>
      <c r="AV30" s="48"/>
      <c r="AW30" s="48"/>
      <c r="AX30" s="48"/>
    </row>
    <row r="31" spans="1:50" ht="45">
      <c r="A31" s="231"/>
      <c r="B31" s="285"/>
      <c r="C31" s="184"/>
      <c r="D31" s="305" t="s">
        <v>5</v>
      </c>
      <c r="E31" s="327">
        <v>35</v>
      </c>
      <c r="F31" s="28">
        <f>IF($O$24=2,"",Consumos!$K$46)</f>
        <v>118.63729499186567</v>
      </c>
      <c r="G31" s="29">
        <f>Radiación!F87/30/86.01</f>
        <v>2.4673818877722957</v>
      </c>
      <c r="H31" s="28">
        <f t="shared" si="0"/>
        <v>48.082259004899612</v>
      </c>
      <c r="I31" s="306">
        <f t="shared" si="1"/>
        <v>35</v>
      </c>
      <c r="J31" s="191">
        <f t="shared" si="2"/>
        <v>2.4673818877722957</v>
      </c>
      <c r="K31" s="184" t="str">
        <f t="shared" si="3"/>
        <v>Abril</v>
      </c>
      <c r="L31" s="184">
        <f>G31*30</f>
        <v>74.021456633168867</v>
      </c>
      <c r="M31" s="184"/>
      <c r="N31" s="463" t="s">
        <v>250</v>
      </c>
      <c r="O31" s="463"/>
      <c r="P31" s="311">
        <f>-(S21+15)</f>
        <v>18</v>
      </c>
      <c r="Q31" s="312"/>
      <c r="R31" s="464" t="s">
        <v>253</v>
      </c>
      <c r="S31" s="464"/>
      <c r="T31" s="313">
        <f>H26</f>
        <v>19</v>
      </c>
      <c r="U31" s="286"/>
      <c r="V31" s="231"/>
      <c r="W31" s="174"/>
      <c r="X31" s="174"/>
      <c r="Y31" s="174"/>
      <c r="Z31" s="174"/>
      <c r="AA31" s="174"/>
      <c r="AB31" s="174"/>
      <c r="AC31" s="174"/>
      <c r="AD31" s="174"/>
      <c r="AE31" s="174"/>
      <c r="AF31" s="174"/>
      <c r="AG31" s="96"/>
      <c r="AH31" s="96"/>
      <c r="AI31" s="96"/>
      <c r="AJ31" s="96"/>
      <c r="AK31" s="96"/>
      <c r="AL31" s="96"/>
      <c r="AM31" s="96"/>
      <c r="AN31" s="96"/>
      <c r="AO31" s="96"/>
      <c r="AP31" s="96"/>
      <c r="AQ31" s="96"/>
      <c r="AR31" s="96"/>
      <c r="AS31" s="96"/>
      <c r="AT31" s="48"/>
      <c r="AU31" s="48"/>
      <c r="AV31" s="48"/>
      <c r="AW31" s="48"/>
      <c r="AX31" s="48"/>
    </row>
    <row r="32" spans="1:50" ht="45">
      <c r="A32" s="231"/>
      <c r="B32" s="285"/>
      <c r="C32" s="184"/>
      <c r="D32" s="305" t="s">
        <v>6</v>
      </c>
      <c r="E32" s="327">
        <v>56</v>
      </c>
      <c r="F32" s="28">
        <f>IF($O$24=2,"",Consumos!$K$46)</f>
        <v>118.63729499186567</v>
      </c>
      <c r="G32" s="29">
        <f>Radiación!G87/31/86.01</f>
        <v>1.5604596553326406</v>
      </c>
      <c r="H32" s="28">
        <f t="shared" si="0"/>
        <v>76.027146608014007</v>
      </c>
      <c r="I32" s="306">
        <f t="shared" si="1"/>
        <v>56</v>
      </c>
      <c r="J32" s="191">
        <f t="shared" si="2"/>
        <v>1.5604596553326406</v>
      </c>
      <c r="K32" s="184" t="str">
        <f t="shared" si="3"/>
        <v>Mayo</v>
      </c>
      <c r="L32" s="184">
        <f>G32*31</f>
        <v>48.374249315311857</v>
      </c>
      <c r="M32" s="184"/>
      <c r="N32" s="314" t="s">
        <v>251</v>
      </c>
      <c r="O32" s="308" t="s">
        <v>255</v>
      </c>
      <c r="P32" s="314" t="s">
        <v>1</v>
      </c>
      <c r="Q32" s="315"/>
      <c r="R32" s="316" t="s">
        <v>254</v>
      </c>
      <c r="S32" s="308" t="s">
        <v>255</v>
      </c>
      <c r="T32" s="316" t="s">
        <v>1</v>
      </c>
      <c r="U32" s="286"/>
      <c r="V32" s="231"/>
      <c r="W32" s="174"/>
      <c r="X32" s="174"/>
      <c r="Y32" s="174"/>
      <c r="Z32" s="174"/>
      <c r="AA32" s="174"/>
      <c r="AB32" s="174"/>
      <c r="AC32" s="174"/>
      <c r="AD32" s="174"/>
      <c r="AE32" s="174"/>
      <c r="AF32" s="174"/>
      <c r="AG32" s="96"/>
      <c r="AH32" s="96"/>
      <c r="AI32" s="96"/>
      <c r="AJ32" s="96"/>
      <c r="AK32" s="96"/>
      <c r="AL32" s="96"/>
      <c r="AM32" s="96"/>
      <c r="AN32" s="96"/>
      <c r="AO32" s="96"/>
      <c r="AP32" s="96"/>
      <c r="AQ32" s="96"/>
      <c r="AR32" s="96"/>
      <c r="AS32" s="96"/>
      <c r="AT32" s="48"/>
      <c r="AU32" s="48"/>
      <c r="AV32" s="48"/>
      <c r="AW32" s="48"/>
      <c r="AX32" s="48"/>
    </row>
    <row r="33" spans="1:50" ht="18.75">
      <c r="A33" s="231"/>
      <c r="B33" s="285"/>
      <c r="C33" s="184"/>
      <c r="D33" s="305" t="s">
        <v>7</v>
      </c>
      <c r="E33" s="327">
        <v>58</v>
      </c>
      <c r="F33" s="28">
        <f>IF($O$24=2,"",Consumos!$K$46)</f>
        <v>118.63729499186567</v>
      </c>
      <c r="G33" s="29">
        <f>Radiación!H87/30/86.01</f>
        <v>1.256903900599277</v>
      </c>
      <c r="H33" s="28">
        <f t="shared" si="0"/>
        <v>94.388516843094209</v>
      </c>
      <c r="I33" s="306">
        <f t="shared" si="1"/>
        <v>58</v>
      </c>
      <c r="J33" s="191">
        <f t="shared" si="2"/>
        <v>1.256903900599277</v>
      </c>
      <c r="K33" s="184" t="str">
        <f t="shared" si="3"/>
        <v>Junio</v>
      </c>
      <c r="L33" s="184">
        <f>G33*30</f>
        <v>37.707117017978312</v>
      </c>
      <c r="M33" s="184"/>
      <c r="N33" s="132">
        <f>IF(O33=0,"",IF($O$24=2,VLOOKUP(O33,AH39:AJ43,2,FALSE),VLOOKUP(O33,AH39:AJ43,2,FALSE)))</f>
        <v>5.6916873609190013</v>
      </c>
      <c r="O33" s="133">
        <f>MAX(AH39,AH42,AH43)</f>
        <v>20.843958472924633</v>
      </c>
      <c r="P33" s="133" t="str">
        <f>IF(O33=0,"",VLOOKUP(O33,AH39:AJ43,3,FALSE))</f>
        <v>Abril</v>
      </c>
      <c r="Q33" s="99"/>
      <c r="R33" s="134">
        <f>IF(S33=0,"",IF($O$24=2,VLOOKUP(S33,H28:K39,3,FALSE),VLOOKUP(S33,H28:K39,3,FALSE)))</f>
        <v>6.098612103838045</v>
      </c>
      <c r="S33" s="135">
        <f>MIN(H28:H39)</f>
        <v>19.453162944599075</v>
      </c>
      <c r="T33" s="135" t="str">
        <f>IF(S33=0,"",VLOOKUP(S33,H28:K39,4,FALSE))</f>
        <v>Diciembre</v>
      </c>
      <c r="U33" s="286"/>
      <c r="V33" s="231"/>
      <c r="W33" s="174"/>
      <c r="X33" s="174"/>
      <c r="Y33" s="174"/>
      <c r="Z33" s="174"/>
      <c r="AA33" s="174"/>
      <c r="AB33" s="174"/>
      <c r="AC33" s="174"/>
      <c r="AD33" s="174"/>
      <c r="AE33" s="174"/>
      <c r="AF33" s="174"/>
      <c r="AG33" s="96"/>
      <c r="AH33" s="96"/>
      <c r="AI33" s="96"/>
      <c r="AJ33" s="96"/>
      <c r="AK33" s="96"/>
      <c r="AL33" s="96"/>
      <c r="AM33" s="96"/>
      <c r="AN33" s="96"/>
      <c r="AO33" s="96"/>
      <c r="AP33" s="96"/>
      <c r="AQ33" s="96"/>
      <c r="AR33" s="96"/>
      <c r="AS33" s="96"/>
      <c r="AT33" s="48"/>
      <c r="AU33" s="48"/>
      <c r="AV33" s="48"/>
      <c r="AW33" s="48"/>
      <c r="AX33" s="48"/>
    </row>
    <row r="34" spans="1:50" ht="15">
      <c r="A34" s="231"/>
      <c r="B34" s="285"/>
      <c r="C34" s="184"/>
      <c r="D34" s="305" t="s">
        <v>8</v>
      </c>
      <c r="E34" s="327">
        <v>32</v>
      </c>
      <c r="F34" s="28">
        <f>IF($O$24=2,"",Consumos!$K$46)</f>
        <v>118.63729499186567</v>
      </c>
      <c r="G34" s="29">
        <f>Radiación!I87/31/86.01</f>
        <v>1.4225926283465842</v>
      </c>
      <c r="H34" s="28">
        <f t="shared" si="0"/>
        <v>83.395128463270964</v>
      </c>
      <c r="I34" s="306">
        <f t="shared" si="1"/>
        <v>32</v>
      </c>
      <c r="J34" s="191">
        <f t="shared" si="2"/>
        <v>1.4225926283465842</v>
      </c>
      <c r="K34" s="184" t="str">
        <f t="shared" si="3"/>
        <v>Julio</v>
      </c>
      <c r="L34" s="184">
        <f>G34*31</f>
        <v>44.100371478744108</v>
      </c>
      <c r="M34" s="184"/>
      <c r="N34" s="184"/>
      <c r="O34" s="184"/>
      <c r="P34" s="184"/>
      <c r="Q34" s="184"/>
      <c r="R34" s="184"/>
      <c r="S34" s="184"/>
      <c r="T34" s="184"/>
      <c r="U34" s="286"/>
      <c r="V34" s="231"/>
      <c r="W34" s="174"/>
      <c r="X34" s="174"/>
      <c r="Y34" s="174"/>
      <c r="Z34" s="174"/>
      <c r="AA34" s="174"/>
      <c r="AB34" s="174"/>
      <c r="AC34" s="174"/>
      <c r="AD34" s="174"/>
      <c r="AE34" s="174"/>
      <c r="AF34" s="174"/>
      <c r="AG34" s="96"/>
      <c r="AH34" s="96"/>
      <c r="AI34" s="96"/>
      <c r="AJ34" s="96"/>
      <c r="AK34" s="96"/>
      <c r="AL34" s="96"/>
      <c r="AM34" s="96"/>
      <c r="AN34" s="96"/>
      <c r="AO34" s="96"/>
      <c r="AP34" s="96"/>
      <c r="AQ34" s="96"/>
      <c r="AR34" s="96"/>
      <c r="AS34" s="96"/>
      <c r="AT34" s="48"/>
      <c r="AU34" s="48"/>
      <c r="AV34" s="48"/>
      <c r="AW34" s="48"/>
      <c r="AX34" s="48"/>
    </row>
    <row r="35" spans="1:50" ht="15">
      <c r="A35" s="231"/>
      <c r="B35" s="285"/>
      <c r="C35" s="184"/>
      <c r="D35" s="305" t="s">
        <v>9</v>
      </c>
      <c r="E35" s="327">
        <v>45</v>
      </c>
      <c r="F35" s="28">
        <f>IF($O$24=2,"",Consumos!$K$46)</f>
        <v>118.63729499186567</v>
      </c>
      <c r="G35" s="29">
        <f>Radiación!J87/31/86.01</f>
        <v>2.1208151308674936</v>
      </c>
      <c r="H35" s="28">
        <f t="shared" si="0"/>
        <v>55.939479714735214</v>
      </c>
      <c r="I35" s="306">
        <f t="shared" si="1"/>
        <v>45</v>
      </c>
      <c r="J35" s="191">
        <f t="shared" si="2"/>
        <v>2.1208151308674936</v>
      </c>
      <c r="K35" s="184" t="str">
        <f t="shared" si="3"/>
        <v>Agosto</v>
      </c>
      <c r="L35" s="184">
        <f>G35*31</f>
        <v>65.745269056892297</v>
      </c>
      <c r="M35" s="184"/>
      <c r="N35" s="184"/>
      <c r="O35" s="184"/>
      <c r="P35" s="184"/>
      <c r="Q35" s="184"/>
      <c r="R35" s="317"/>
      <c r="S35" s="184"/>
      <c r="T35" s="184"/>
      <c r="U35" s="286"/>
      <c r="V35" s="231"/>
      <c r="W35" s="174"/>
      <c r="X35" s="174"/>
      <c r="Y35" s="174"/>
      <c r="Z35" s="174"/>
      <c r="AA35" s="174"/>
      <c r="AB35" s="174"/>
      <c r="AC35" s="174"/>
      <c r="AD35" s="174"/>
      <c r="AE35" s="174"/>
      <c r="AF35" s="174"/>
      <c r="AG35" s="96"/>
      <c r="AH35" s="96"/>
      <c r="AI35" s="96"/>
      <c r="AJ35" s="96"/>
      <c r="AK35" s="96"/>
      <c r="AL35" s="96"/>
      <c r="AM35" s="96"/>
      <c r="AN35" s="96"/>
      <c r="AO35" s="96"/>
      <c r="AP35" s="96"/>
      <c r="AQ35" s="96"/>
      <c r="AR35" s="96"/>
      <c r="AS35" s="96"/>
      <c r="AT35" s="48"/>
      <c r="AU35" s="48"/>
      <c r="AV35" s="48"/>
      <c r="AW35" s="48"/>
      <c r="AX35" s="48"/>
    </row>
    <row r="36" spans="1:50" ht="15">
      <c r="A36" s="231"/>
      <c r="B36" s="285"/>
      <c r="C36" s="184"/>
      <c r="D36" s="305" t="s">
        <v>244</v>
      </c>
      <c r="E36" s="327">
        <v>48</v>
      </c>
      <c r="F36" s="28">
        <f>IF($O$24=2,"",Consumos!$K$46)</f>
        <v>118.63729499186567</v>
      </c>
      <c r="G36" s="29">
        <f>Radiación!K87/30/86.01</f>
        <v>3.2685895478845977</v>
      </c>
      <c r="H36" s="28">
        <f t="shared" si="0"/>
        <v>36.296174008341517</v>
      </c>
      <c r="I36" s="306">
        <f t="shared" si="1"/>
        <v>48</v>
      </c>
      <c r="J36" s="191">
        <f t="shared" si="2"/>
        <v>3.2685895478845977</v>
      </c>
      <c r="K36" s="184" t="str">
        <f t="shared" si="3"/>
        <v>Septiembre</v>
      </c>
      <c r="L36" s="184">
        <f>G36*30</f>
        <v>98.057686436537935</v>
      </c>
      <c r="M36" s="184"/>
      <c r="N36" s="184"/>
      <c r="O36" s="184"/>
      <c r="P36" s="184"/>
      <c r="Q36" s="184"/>
      <c r="R36" s="184"/>
      <c r="S36" s="184"/>
      <c r="T36" s="184"/>
      <c r="U36" s="286"/>
      <c r="V36" s="231"/>
      <c r="W36" s="174"/>
      <c r="X36" s="174"/>
      <c r="Y36" s="174"/>
      <c r="Z36" s="174"/>
      <c r="AA36" s="174"/>
      <c r="AB36" s="174"/>
      <c r="AC36" s="174"/>
      <c r="AD36" s="174"/>
      <c r="AE36" s="174"/>
      <c r="AF36" s="174"/>
      <c r="AG36" s="96"/>
      <c r="AH36" s="96"/>
      <c r="AI36" s="96"/>
      <c r="AJ36" s="96"/>
      <c r="AK36" s="96"/>
      <c r="AL36" s="96"/>
      <c r="AM36" s="96"/>
      <c r="AN36" s="96"/>
      <c r="AO36" s="96"/>
      <c r="AP36" s="96"/>
      <c r="AQ36" s="96"/>
      <c r="AR36" s="96"/>
      <c r="AS36" s="96"/>
      <c r="AT36" s="48"/>
      <c r="AU36" s="48"/>
      <c r="AV36" s="48"/>
      <c r="AW36" s="48"/>
      <c r="AX36" s="48"/>
    </row>
    <row r="37" spans="1:50" ht="15">
      <c r="A37" s="231"/>
      <c r="B37" s="285"/>
      <c r="C37" s="184"/>
      <c r="D37" s="305" t="s">
        <v>245</v>
      </c>
      <c r="E37" s="327"/>
      <c r="F37" s="28">
        <f>IF($O$24=2,"",Consumos!$K$46)</f>
        <v>118.63729499186567</v>
      </c>
      <c r="G37" s="29">
        <f>Radiación!L87/31/86.01</f>
        <v>4.0156330021986957</v>
      </c>
      <c r="H37" s="28">
        <f t="shared" si="0"/>
        <v>29.543858945005113</v>
      </c>
      <c r="I37" s="306">
        <f t="shared" si="1"/>
        <v>0</v>
      </c>
      <c r="J37" s="191">
        <f t="shared" si="2"/>
        <v>4.0156330021986957</v>
      </c>
      <c r="K37" s="184" t="str">
        <f t="shared" si="3"/>
        <v>Octubre</v>
      </c>
      <c r="L37" s="184">
        <f>G37*31</f>
        <v>124.48462306815956</v>
      </c>
      <c r="M37" s="184"/>
      <c r="N37" s="184"/>
      <c r="O37" s="184"/>
      <c r="P37" s="184"/>
      <c r="Q37" s="184"/>
      <c r="R37" s="184"/>
      <c r="S37" s="184"/>
      <c r="T37" s="184"/>
      <c r="U37" s="286"/>
      <c r="V37" s="231"/>
      <c r="W37" s="174" t="s">
        <v>81</v>
      </c>
      <c r="X37" s="174"/>
      <c r="Y37" s="174"/>
      <c r="Z37" s="460">
        <f>P27</f>
        <v>26.47</v>
      </c>
      <c r="AA37" s="460"/>
      <c r="AB37" s="174"/>
      <c r="AC37" s="174"/>
      <c r="AD37" s="174" t="s">
        <v>81</v>
      </c>
      <c r="AE37" s="174"/>
      <c r="AF37" s="174"/>
      <c r="AG37" s="96">
        <f>P31</f>
        <v>18</v>
      </c>
      <c r="AH37" s="96"/>
      <c r="AI37" s="96"/>
      <c r="AJ37" s="96"/>
      <c r="AK37" s="96" t="s">
        <v>81</v>
      </c>
      <c r="AL37" s="96"/>
      <c r="AM37" s="96"/>
      <c r="AN37" s="96">
        <f>T27</f>
        <v>13</v>
      </c>
      <c r="AO37" s="96"/>
      <c r="AP37" s="96"/>
      <c r="AQ37" s="96"/>
      <c r="AR37" s="96"/>
      <c r="AS37" s="96"/>
      <c r="AT37" s="48"/>
      <c r="AU37" s="48"/>
      <c r="AV37" s="48"/>
      <c r="AW37" s="48"/>
      <c r="AX37" s="48"/>
    </row>
    <row r="38" spans="1:50" ht="46.5">
      <c r="A38" s="231"/>
      <c r="B38" s="285"/>
      <c r="C38" s="184"/>
      <c r="D38" s="305" t="s">
        <v>10</v>
      </c>
      <c r="E38" s="327"/>
      <c r="F38" s="28">
        <f>IF($O$24=2,"",Consumos!$K$46)</f>
        <v>118.63729499186567</v>
      </c>
      <c r="G38" s="29">
        <f>Radiación!M87/30/86.01</f>
        <v>5.6706880144936864</v>
      </c>
      <c r="H38" s="28">
        <f t="shared" si="0"/>
        <v>20.921146550231846</v>
      </c>
      <c r="I38" s="306">
        <f t="shared" si="1"/>
        <v>0</v>
      </c>
      <c r="J38" s="191">
        <f t="shared" si="2"/>
        <v>5.6706880144936864</v>
      </c>
      <c r="K38" s="184" t="str">
        <f t="shared" si="3"/>
        <v>Noviembre</v>
      </c>
      <c r="L38" s="184">
        <f>G38*30</f>
        <v>170.12064043481058</v>
      </c>
      <c r="M38" s="184"/>
      <c r="N38" s="184"/>
      <c r="O38" s="184"/>
      <c r="P38" s="184"/>
      <c r="Q38" s="184"/>
      <c r="R38" s="184"/>
      <c r="S38" s="184"/>
      <c r="T38" s="184"/>
      <c r="U38" s="286"/>
      <c r="V38" s="231"/>
      <c r="W38" s="318" t="s">
        <v>1</v>
      </c>
      <c r="X38" s="319" t="s">
        <v>12</v>
      </c>
      <c r="Y38" s="319" t="s">
        <v>12</v>
      </c>
      <c r="Z38" s="319" t="s">
        <v>157</v>
      </c>
      <c r="AA38" s="320" t="s">
        <v>64</v>
      </c>
      <c r="AB38" s="174"/>
      <c r="AC38" s="174"/>
      <c r="AD38" s="318" t="s">
        <v>1</v>
      </c>
      <c r="AE38" s="319" t="s">
        <v>12</v>
      </c>
      <c r="AF38" s="319" t="s">
        <v>12</v>
      </c>
      <c r="AG38" s="96" t="s">
        <v>157</v>
      </c>
      <c r="AH38" s="96" t="s">
        <v>64</v>
      </c>
      <c r="AI38" s="96"/>
      <c r="AJ38" s="96"/>
      <c r="AK38" s="96" t="s">
        <v>1</v>
      </c>
      <c r="AL38" s="96" t="s">
        <v>12</v>
      </c>
      <c r="AM38" s="96" t="s">
        <v>12</v>
      </c>
      <c r="AN38" s="96" t="s">
        <v>157</v>
      </c>
      <c r="AO38" s="96" t="s">
        <v>64</v>
      </c>
      <c r="AP38" s="96"/>
      <c r="AQ38" s="96"/>
      <c r="AR38" s="96"/>
      <c r="AS38" s="96"/>
      <c r="AT38" s="48"/>
      <c r="AU38" s="48"/>
      <c r="AV38" s="48"/>
      <c r="AW38" s="48"/>
      <c r="AX38" s="48"/>
    </row>
    <row r="39" spans="1:50" ht="107.25" thickBot="1">
      <c r="A39" s="231"/>
      <c r="B39" s="285"/>
      <c r="C39" s="184"/>
      <c r="D39" s="305" t="s">
        <v>11</v>
      </c>
      <c r="E39" s="328"/>
      <c r="F39" s="28">
        <f>IF($O$24=2,"",Consumos!$K$46)</f>
        <v>118.63729499186567</v>
      </c>
      <c r="G39" s="29">
        <f>Radiación!N87/31/86.01</f>
        <v>6.098612103838045</v>
      </c>
      <c r="H39" s="28">
        <f t="shared" si="0"/>
        <v>19.453162944599075</v>
      </c>
      <c r="I39" s="306">
        <f t="shared" si="1"/>
        <v>0</v>
      </c>
      <c r="J39" s="191">
        <f t="shared" si="2"/>
        <v>6.098612103838045</v>
      </c>
      <c r="K39" s="184" t="str">
        <f t="shared" si="3"/>
        <v>Diciembre</v>
      </c>
      <c r="L39" s="184">
        <f>G39*31</f>
        <v>189.0569752189794</v>
      </c>
      <c r="M39" s="184"/>
      <c r="N39" s="184"/>
      <c r="O39" s="184"/>
      <c r="P39" s="184"/>
      <c r="Q39" s="184"/>
      <c r="R39" s="184"/>
      <c r="S39" s="184"/>
      <c r="T39" s="184"/>
      <c r="U39" s="286"/>
      <c r="V39" s="231"/>
      <c r="W39" s="318" t="s">
        <v>165</v>
      </c>
      <c r="X39" s="321">
        <f t="shared" ref="X39:Y41" si="4">E28</f>
        <v>0</v>
      </c>
      <c r="Y39" s="141">
        <f t="shared" si="4"/>
        <v>118.63729499186567</v>
      </c>
      <c r="Z39" s="142">
        <f>Radiación!C140/31/86.01</f>
        <v>5.8562416309551599</v>
      </c>
      <c r="AA39" s="141">
        <f>IF($O$24=2,X39/Z39,Y39/Z39)</f>
        <v>20.258265021847432</v>
      </c>
      <c r="AB39" s="322">
        <f>Z39</f>
        <v>5.8562416309551599</v>
      </c>
      <c r="AC39" s="174" t="s">
        <v>165</v>
      </c>
      <c r="AD39" s="174" t="s">
        <v>165</v>
      </c>
      <c r="AE39" s="321">
        <f t="shared" ref="AE39:AF41" si="5">E28</f>
        <v>0</v>
      </c>
      <c r="AF39" s="141">
        <f t="shared" si="5"/>
        <v>118.63729499186567</v>
      </c>
      <c r="AG39" s="96">
        <f>Radiación!C193/31/86.01</f>
        <v>6.056654917972299</v>
      </c>
      <c r="AH39" s="96">
        <f>IF($O$24=2,AE39/AG39,AF39/AG39)</f>
        <v>19.587923795992676</v>
      </c>
      <c r="AI39" s="96">
        <f>AG39</f>
        <v>6.056654917972299</v>
      </c>
      <c r="AJ39" s="96" t="s">
        <v>243</v>
      </c>
      <c r="AK39" s="96" t="s">
        <v>165</v>
      </c>
      <c r="AL39" s="96">
        <f t="shared" ref="AL39:AM41" si="6">E28</f>
        <v>0</v>
      </c>
      <c r="AM39" s="96">
        <f t="shared" si="6"/>
        <v>118.63729499186567</v>
      </c>
      <c r="AN39" s="96">
        <f>Radiación!C243/31/86.01</f>
        <v>6.1354315219200135</v>
      </c>
      <c r="AO39" s="96">
        <f>IF($O$24=2,AL39/AN39,AM39/AN39)</f>
        <v>19.33642231487892</v>
      </c>
      <c r="AP39" s="96">
        <f>AN39</f>
        <v>6.1354315219200135</v>
      </c>
      <c r="AQ39" s="96" t="s">
        <v>2</v>
      </c>
      <c r="AR39" s="96"/>
      <c r="AS39" s="96"/>
      <c r="AT39" s="48"/>
      <c r="AU39" s="48"/>
      <c r="AV39" s="48"/>
      <c r="AW39" s="48"/>
      <c r="AX39" s="48"/>
    </row>
    <row r="40" spans="1:50" ht="122.25" thickBot="1">
      <c r="A40" s="231"/>
      <c r="B40" s="285"/>
      <c r="C40" s="184"/>
      <c r="D40" s="566" t="s">
        <v>247</v>
      </c>
      <c r="E40" s="567"/>
      <c r="F40" s="568"/>
      <c r="G40" s="38">
        <f>SUM(G28:G39)</f>
        <v>42.310453408905666</v>
      </c>
      <c r="H40" s="184"/>
      <c r="I40" s="184"/>
      <c r="J40" s="184"/>
      <c r="K40" s="184"/>
      <c r="L40" s="184"/>
      <c r="M40" s="184"/>
      <c r="N40" s="184"/>
      <c r="O40" s="184"/>
      <c r="P40" s="184"/>
      <c r="Q40" s="184"/>
      <c r="R40" s="184"/>
      <c r="S40" s="184"/>
      <c r="T40" s="184"/>
      <c r="U40" s="286"/>
      <c r="V40" s="231"/>
      <c r="W40" s="318" t="s">
        <v>166</v>
      </c>
      <c r="X40" s="321">
        <f t="shared" si="4"/>
        <v>0</v>
      </c>
      <c r="Y40" s="141">
        <f t="shared" si="4"/>
        <v>118.63729499186567</v>
      </c>
      <c r="Z40" s="142">
        <f>Radiación!D140/28/86.01</f>
        <v>5.2317853899702538</v>
      </c>
      <c r="AA40" s="141">
        <f>IF($O$24=2,X40/Z40,Y40/Z40)</f>
        <v>22.676254117629281</v>
      </c>
      <c r="AB40" s="322">
        <f t="shared" ref="AB40:AB43" si="7">Z40</f>
        <v>5.2317853899702538</v>
      </c>
      <c r="AC40" s="174" t="s">
        <v>166</v>
      </c>
      <c r="AD40" s="174" t="s">
        <v>166</v>
      </c>
      <c r="AE40" s="321">
        <f t="shared" si="5"/>
        <v>0</v>
      </c>
      <c r="AF40" s="141">
        <f t="shared" si="5"/>
        <v>118.63729499186567</v>
      </c>
      <c r="AG40" s="96">
        <f>Radiación!D193/28/86.01</f>
        <v>5.5095300577219906</v>
      </c>
      <c r="AH40" s="96">
        <f>IF($O$24=2,AE40/AG40,AF40/AG40)</f>
        <v>21.533106045149392</v>
      </c>
      <c r="AI40" s="96">
        <f t="shared" ref="AI40:AI43" si="8">AG40</f>
        <v>5.5095300577219906</v>
      </c>
      <c r="AJ40" s="96" t="s">
        <v>3</v>
      </c>
      <c r="AK40" s="96" t="s">
        <v>166</v>
      </c>
      <c r="AL40" s="96">
        <f t="shared" si="6"/>
        <v>0</v>
      </c>
      <c r="AM40" s="96">
        <f t="shared" si="6"/>
        <v>118.63729499186567</v>
      </c>
      <c r="AN40" s="96">
        <f>Radiación!D243/31/86.01</f>
        <v>5.0935417428051775</v>
      </c>
      <c r="AO40" s="96">
        <f>IF($O$24=2,AL40/AN40,AM40/AN40)</f>
        <v>23.291709577023767</v>
      </c>
      <c r="AP40" s="96">
        <f t="shared" ref="AP40:AP43" si="9">AN40</f>
        <v>5.0935417428051775</v>
      </c>
      <c r="AQ40" s="96" t="s">
        <v>3</v>
      </c>
      <c r="AR40" s="96"/>
      <c r="AS40" s="96"/>
      <c r="AT40" s="48"/>
      <c r="AU40" s="48"/>
      <c r="AV40" s="48"/>
      <c r="AW40" s="48"/>
      <c r="AX40" s="48"/>
    </row>
    <row r="41" spans="1:50" ht="76.5">
      <c r="A41" s="231"/>
      <c r="B41" s="285"/>
      <c r="C41" s="184"/>
      <c r="D41" s="184"/>
      <c r="E41" s="184"/>
      <c r="F41" s="184"/>
      <c r="G41" s="184"/>
      <c r="H41" s="184"/>
      <c r="I41" s="184"/>
      <c r="J41" s="184"/>
      <c r="K41" s="184"/>
      <c r="L41" s="184"/>
      <c r="M41" s="184"/>
      <c r="N41" s="184"/>
      <c r="O41" s="184"/>
      <c r="P41" s="184"/>
      <c r="Q41" s="184"/>
      <c r="R41" s="184"/>
      <c r="S41" s="184"/>
      <c r="T41" s="184"/>
      <c r="U41" s="286"/>
      <c r="V41" s="231"/>
      <c r="W41" s="318" t="s">
        <v>167</v>
      </c>
      <c r="X41" s="321">
        <f t="shared" si="4"/>
        <v>0</v>
      </c>
      <c r="Y41" s="141">
        <f t="shared" si="4"/>
        <v>118.63729499186567</v>
      </c>
      <c r="Z41" s="142">
        <f>Radiación!E140/31/86.01</f>
        <v>3.5283038457677769</v>
      </c>
      <c r="AA41" s="141">
        <f>IF($O$24=2,X41/Z41,Y41/Z41)</f>
        <v>33.624455312762215</v>
      </c>
      <c r="AB41" s="322">
        <f t="shared" si="7"/>
        <v>3.5283038457677769</v>
      </c>
      <c r="AC41" s="174" t="s">
        <v>167</v>
      </c>
      <c r="AD41" s="174" t="s">
        <v>167</v>
      </c>
      <c r="AE41" s="321">
        <f t="shared" si="5"/>
        <v>0</v>
      </c>
      <c r="AF41" s="141">
        <f t="shared" si="5"/>
        <v>118.63729499186567</v>
      </c>
      <c r="AG41" s="96">
        <f>Radiación!E193/31/86.01</f>
        <v>3.8182216645083411</v>
      </c>
      <c r="AH41" s="96">
        <f>IF($O$24=2,AE41/AG41,AF41/AG41)</f>
        <v>31.071348239060967</v>
      </c>
      <c r="AI41" s="96">
        <f t="shared" si="8"/>
        <v>3.8182216645083411</v>
      </c>
      <c r="AJ41" s="96" t="s">
        <v>4</v>
      </c>
      <c r="AK41" s="96" t="s">
        <v>167</v>
      </c>
      <c r="AL41" s="96">
        <f t="shared" si="6"/>
        <v>0</v>
      </c>
      <c r="AM41" s="96">
        <f t="shared" si="6"/>
        <v>118.63729499186567</v>
      </c>
      <c r="AN41" s="96">
        <f>Radiación!E243/31/86.01</f>
        <v>3.9671012563977661</v>
      </c>
      <c r="AO41" s="96">
        <f>IF($O$24=2,AL41/AN41,AM41/AN41)</f>
        <v>29.905285326543822</v>
      </c>
      <c r="AP41" s="96">
        <f t="shared" si="9"/>
        <v>3.9671012563977661</v>
      </c>
      <c r="AQ41" s="96" t="s">
        <v>4</v>
      </c>
      <c r="AR41" s="96"/>
      <c r="AS41" s="96"/>
      <c r="AT41" s="48"/>
      <c r="AU41" s="48"/>
      <c r="AV41" s="48"/>
      <c r="AW41" s="48"/>
      <c r="AX41" s="48"/>
    </row>
    <row r="42" spans="1:50" ht="121.5">
      <c r="A42" s="231"/>
      <c r="B42" s="285"/>
      <c r="C42" s="184"/>
      <c r="D42" s="184"/>
      <c r="E42" s="184"/>
      <c r="F42" s="184"/>
      <c r="G42" s="184"/>
      <c r="H42" s="184"/>
      <c r="I42" s="184"/>
      <c r="J42" s="184"/>
      <c r="K42" s="184"/>
      <c r="L42" s="184"/>
      <c r="M42" s="184"/>
      <c r="N42" s="184"/>
      <c r="O42" s="184"/>
      <c r="P42" s="184"/>
      <c r="Q42" s="184"/>
      <c r="R42" s="184"/>
      <c r="S42" s="184"/>
      <c r="T42" s="184"/>
      <c r="U42" s="286"/>
      <c r="V42" s="231"/>
      <c r="W42" s="318" t="s">
        <v>168</v>
      </c>
      <c r="X42" s="321">
        <f>E38</f>
        <v>0</v>
      </c>
      <c r="Y42" s="141">
        <f>F38</f>
        <v>118.63729499186567</v>
      </c>
      <c r="Z42" s="142">
        <f>Radiación!M140/30/86.01</f>
        <v>5.4802703521062961</v>
      </c>
      <c r="AA42" s="141">
        <f>IF($O$24=2,X42/Z42,Y42/Z42)</f>
        <v>21.648073428762217</v>
      </c>
      <c r="AB42" s="322">
        <f t="shared" si="7"/>
        <v>5.4802703521062961</v>
      </c>
      <c r="AC42" s="174" t="s">
        <v>168</v>
      </c>
      <c r="AD42" s="174" t="s">
        <v>168</v>
      </c>
      <c r="AE42" s="321">
        <f>E38</f>
        <v>0</v>
      </c>
      <c r="AF42" s="141">
        <f>F38</f>
        <v>118.63729499186567</v>
      </c>
      <c r="AG42" s="96">
        <f>Radiación!M193/30/86.01</f>
        <v>5.6916873609190013</v>
      </c>
      <c r="AH42" s="96">
        <f>IF($O$24=2,AE42/AG42,AF42/AG42)</f>
        <v>20.843958472924633</v>
      </c>
      <c r="AI42" s="96">
        <f t="shared" si="8"/>
        <v>5.6916873609190013</v>
      </c>
      <c r="AJ42" s="96" t="s">
        <v>5</v>
      </c>
      <c r="AK42" s="96" t="s">
        <v>168</v>
      </c>
      <c r="AL42" s="96">
        <f>E38</f>
        <v>0</v>
      </c>
      <c r="AM42" s="96">
        <f>F38</f>
        <v>118.63729499186567</v>
      </c>
      <c r="AN42" s="96">
        <f>Radiación!M243/30/86.01</f>
        <v>5.7803309405169516</v>
      </c>
      <c r="AO42" s="96">
        <f>IF($O$24=2,AL42/AN42,AM42/AN42)</f>
        <v>20.524308419831684</v>
      </c>
      <c r="AP42" s="96">
        <f t="shared" si="9"/>
        <v>5.7803309405169516</v>
      </c>
      <c r="AQ42" s="96" t="s">
        <v>10</v>
      </c>
      <c r="AR42" s="96"/>
      <c r="AS42" s="96"/>
      <c r="AT42" s="48"/>
      <c r="AU42" s="48"/>
      <c r="AV42" s="48"/>
      <c r="AW42" s="48"/>
      <c r="AX42" s="48"/>
    </row>
    <row r="43" spans="1:50" ht="121.5">
      <c r="A43" s="231"/>
      <c r="B43" s="323"/>
      <c r="C43" s="324"/>
      <c r="D43" s="324"/>
      <c r="E43" s="324"/>
      <c r="F43" s="324"/>
      <c r="G43" s="324"/>
      <c r="H43" s="324"/>
      <c r="I43" s="324"/>
      <c r="J43" s="324"/>
      <c r="K43" s="324"/>
      <c r="L43" s="324"/>
      <c r="M43" s="324"/>
      <c r="N43" s="324"/>
      <c r="O43" s="324"/>
      <c r="P43" s="324"/>
      <c r="Q43" s="324"/>
      <c r="R43" s="324"/>
      <c r="S43" s="324"/>
      <c r="T43" s="324"/>
      <c r="U43" s="325"/>
      <c r="V43" s="231"/>
      <c r="W43" s="318" t="s">
        <v>169</v>
      </c>
      <c r="X43" s="321">
        <f>E39</f>
        <v>0</v>
      </c>
      <c r="Y43" s="141">
        <f>F39</f>
        <v>118.63729499186567</v>
      </c>
      <c r="Z43" s="142">
        <f>Radiación!N140/31/86.01</f>
        <v>5.9409721543279108</v>
      </c>
      <c r="AA43" s="141">
        <f>IF($O$24=2,X43/Z43,Y43/Z43)</f>
        <v>19.969340355423171</v>
      </c>
      <c r="AB43" s="322">
        <f t="shared" si="7"/>
        <v>5.9409721543279108</v>
      </c>
      <c r="AC43" s="174" t="s">
        <v>169</v>
      </c>
      <c r="AD43" s="174" t="s">
        <v>169</v>
      </c>
      <c r="AE43" s="321">
        <f>E39</f>
        <v>0</v>
      </c>
      <c r="AF43" s="141">
        <f>F39</f>
        <v>118.63729499186567</v>
      </c>
      <c r="AG43" s="96">
        <f>Radiación!N193/31/86.01</f>
        <v>6.1147430955149629</v>
      </c>
      <c r="AH43" s="96">
        <f>IF($O$24=2,AE43/AG43,AF43/AG43)</f>
        <v>19.401844548282604</v>
      </c>
      <c r="AI43" s="96">
        <f t="shared" si="8"/>
        <v>6.1147430955149629</v>
      </c>
      <c r="AJ43" s="96" t="s">
        <v>6</v>
      </c>
      <c r="AK43" s="96" t="s">
        <v>169</v>
      </c>
      <c r="AL43" s="96">
        <f>E39</f>
        <v>0</v>
      </c>
      <c r="AM43" s="96">
        <f>F39</f>
        <v>118.63729499186567</v>
      </c>
      <c r="AN43" s="96">
        <f>Radiación!N243/31/86.01</f>
        <v>6.1774416357667539</v>
      </c>
      <c r="AO43" s="96">
        <f>IF($O$24=2,AL43/AN43,AM43/AN43)</f>
        <v>19.204923653987745</v>
      </c>
      <c r="AP43" s="96">
        <f t="shared" si="9"/>
        <v>6.1774416357667539</v>
      </c>
      <c r="AQ43" s="96" t="s">
        <v>11</v>
      </c>
      <c r="AR43" s="96"/>
      <c r="AS43" s="96"/>
      <c r="AT43" s="48"/>
      <c r="AU43" s="48"/>
      <c r="AV43" s="48"/>
      <c r="AW43" s="48"/>
      <c r="AX43" s="48"/>
    </row>
    <row r="44" spans="1:50">
      <c r="A44" s="231"/>
      <c r="B44" s="231"/>
      <c r="C44" s="231"/>
      <c r="D44" s="231"/>
      <c r="E44" s="231"/>
      <c r="F44" s="231"/>
      <c r="G44" s="231"/>
      <c r="H44" s="231"/>
      <c r="I44" s="231"/>
      <c r="J44" s="231"/>
      <c r="K44" s="231"/>
      <c r="L44" s="231"/>
      <c r="M44" s="231"/>
      <c r="N44" s="231"/>
      <c r="O44" s="231"/>
      <c r="P44" s="231"/>
      <c r="Q44" s="231"/>
      <c r="R44" s="231"/>
      <c r="S44" s="231"/>
      <c r="T44" s="231"/>
      <c r="U44" s="231"/>
      <c r="V44" s="231"/>
      <c r="W44" s="461" t="s">
        <v>59</v>
      </c>
      <c r="X44" s="461"/>
      <c r="Y44" s="461"/>
      <c r="Z44" s="143">
        <f>SUM(Z39:Z43)</f>
        <v>26.037573373127394</v>
      </c>
      <c r="AA44" s="174"/>
      <c r="AB44" s="174"/>
      <c r="AC44" s="174"/>
      <c r="AD44" s="461" t="s">
        <v>59</v>
      </c>
      <c r="AE44" s="461"/>
      <c r="AF44" s="461"/>
      <c r="AG44" s="96">
        <f>SUM(AG39:AG43)</f>
        <v>27.190837096636596</v>
      </c>
      <c r="AH44" s="96"/>
      <c r="AI44" s="96"/>
      <c r="AJ44" s="96" t="s">
        <v>7</v>
      </c>
      <c r="AK44" s="96" t="s">
        <v>59</v>
      </c>
      <c r="AL44" s="96"/>
      <c r="AM44" s="96"/>
      <c r="AN44" s="96">
        <f>SUM(AN39:AN43)</f>
        <v>27.153847097406665</v>
      </c>
      <c r="AO44" s="96"/>
      <c r="AP44" s="96"/>
      <c r="AQ44" s="96"/>
      <c r="AR44" s="96"/>
      <c r="AS44" s="96"/>
      <c r="AT44" s="48"/>
      <c r="AU44" s="48"/>
      <c r="AV44" s="48"/>
      <c r="AW44" s="48"/>
      <c r="AX44" s="48"/>
    </row>
    <row r="45" spans="1:50">
      <c r="A45" s="231"/>
      <c r="B45" s="231"/>
      <c r="C45" s="231"/>
      <c r="D45" s="231"/>
      <c r="E45" s="231"/>
      <c r="F45" s="231"/>
      <c r="G45" s="231"/>
      <c r="H45" s="231"/>
      <c r="I45" s="231"/>
      <c r="J45" s="231"/>
      <c r="K45" s="231"/>
      <c r="L45" s="231"/>
      <c r="M45" s="231"/>
      <c r="N45" s="231"/>
      <c r="O45" s="231"/>
      <c r="P45" s="231"/>
      <c r="Q45" s="231"/>
      <c r="R45" s="231"/>
      <c r="S45" s="231"/>
      <c r="T45" s="231"/>
      <c r="U45" s="231"/>
      <c r="V45" s="231"/>
      <c r="W45" s="174"/>
      <c r="X45" s="174"/>
      <c r="Y45" s="174"/>
      <c r="Z45" s="174"/>
      <c r="AA45" s="174"/>
      <c r="AB45" s="174"/>
      <c r="AC45" s="174"/>
      <c r="AD45" s="174"/>
      <c r="AE45" s="174"/>
      <c r="AF45" s="174"/>
      <c r="AG45" s="96"/>
      <c r="AH45" s="96"/>
      <c r="AI45" s="96"/>
      <c r="AJ45" s="96" t="s">
        <v>8</v>
      </c>
      <c r="AK45" s="96"/>
      <c r="AL45" s="96"/>
      <c r="AM45" s="96"/>
      <c r="AN45" s="96"/>
      <c r="AO45" s="96"/>
      <c r="AP45" s="96"/>
      <c r="AQ45" s="96"/>
      <c r="AR45" s="96"/>
      <c r="AS45" s="96"/>
      <c r="AT45" s="48"/>
      <c r="AU45" s="48"/>
      <c r="AV45" s="48"/>
      <c r="AW45" s="48"/>
      <c r="AX45" s="48"/>
    </row>
    <row r="46" spans="1:50">
      <c r="A46" s="231"/>
      <c r="B46" s="231"/>
      <c r="C46" s="231"/>
      <c r="D46" s="231"/>
      <c r="E46" s="231"/>
      <c r="F46" s="231"/>
      <c r="G46" s="231"/>
      <c r="H46" s="231"/>
      <c r="I46" s="231"/>
      <c r="J46" s="231"/>
      <c r="K46" s="231"/>
      <c r="L46" s="231"/>
      <c r="M46" s="231"/>
      <c r="N46" s="231"/>
      <c r="O46" s="231"/>
      <c r="P46" s="231"/>
      <c r="Q46" s="231"/>
      <c r="R46" s="231"/>
      <c r="S46" s="231"/>
      <c r="T46" s="231"/>
      <c r="U46" s="231"/>
      <c r="V46" s="231"/>
      <c r="W46" s="174"/>
      <c r="X46" s="174"/>
      <c r="Y46" s="174"/>
      <c r="Z46" s="174"/>
      <c r="AA46" s="174"/>
      <c r="AB46" s="174"/>
      <c r="AC46" s="174"/>
      <c r="AD46" s="174"/>
      <c r="AE46" s="174"/>
      <c r="AF46" s="174"/>
      <c r="AG46" s="96"/>
      <c r="AH46" s="96"/>
      <c r="AI46" s="96"/>
      <c r="AJ46" s="96" t="s">
        <v>9</v>
      </c>
      <c r="AK46" s="96"/>
      <c r="AL46" s="96"/>
      <c r="AM46" s="96"/>
      <c r="AN46" s="96"/>
      <c r="AO46" s="96"/>
      <c r="AP46" s="96"/>
      <c r="AQ46" s="96"/>
      <c r="AR46" s="96"/>
      <c r="AS46" s="96"/>
      <c r="AT46" s="48"/>
      <c r="AU46" s="48"/>
      <c r="AV46" s="48"/>
      <c r="AW46" s="48"/>
      <c r="AX46" s="48"/>
    </row>
    <row r="47" spans="1:50">
      <c r="A47" s="231"/>
      <c r="B47" s="231"/>
      <c r="C47" s="231"/>
      <c r="D47" s="231"/>
      <c r="E47" s="231"/>
      <c r="F47" s="231"/>
      <c r="G47" s="231"/>
      <c r="H47" s="231"/>
      <c r="I47" s="231"/>
      <c r="J47" s="231"/>
      <c r="K47" s="231"/>
      <c r="L47" s="231"/>
      <c r="M47" s="231"/>
      <c r="N47" s="231"/>
      <c r="O47" s="231"/>
      <c r="P47" s="231"/>
      <c r="Q47" s="231"/>
      <c r="R47" s="231"/>
      <c r="S47" s="231"/>
      <c r="T47" s="231"/>
      <c r="U47" s="231"/>
      <c r="V47" s="231"/>
      <c r="W47" s="174"/>
      <c r="X47" s="174"/>
      <c r="Y47" s="174"/>
      <c r="Z47" s="174"/>
      <c r="AA47" s="174"/>
      <c r="AB47" s="174"/>
      <c r="AC47" s="174"/>
      <c r="AD47" s="174"/>
      <c r="AE47" s="174"/>
      <c r="AF47" s="174"/>
      <c r="AG47" s="96"/>
      <c r="AH47" s="96"/>
      <c r="AI47" s="96"/>
      <c r="AJ47" s="96" t="s">
        <v>244</v>
      </c>
      <c r="AK47" s="96"/>
      <c r="AL47" s="96"/>
      <c r="AM47" s="96"/>
      <c r="AN47" s="96"/>
      <c r="AO47" s="96"/>
      <c r="AP47" s="96"/>
      <c r="AQ47" s="96"/>
      <c r="AR47" s="96"/>
      <c r="AS47" s="96"/>
      <c r="AT47" s="48"/>
      <c r="AU47" s="48"/>
      <c r="AV47" s="48"/>
      <c r="AW47" s="48"/>
      <c r="AX47" s="48"/>
    </row>
    <row r="48" spans="1:50">
      <c r="A48" s="231"/>
      <c r="B48" s="231"/>
      <c r="C48" s="231"/>
      <c r="D48" s="231"/>
      <c r="E48" s="231"/>
      <c r="F48" s="231"/>
      <c r="G48" s="231"/>
      <c r="H48" s="231"/>
      <c r="I48" s="231"/>
      <c r="J48" s="231"/>
      <c r="K48" s="231"/>
      <c r="L48" s="231"/>
      <c r="M48" s="231"/>
      <c r="N48" s="231"/>
      <c r="O48" s="231"/>
      <c r="P48" s="231"/>
      <c r="Q48" s="231"/>
      <c r="R48" s="231"/>
      <c r="S48" s="231"/>
      <c r="T48" s="231"/>
      <c r="U48" s="231"/>
      <c r="V48" s="231"/>
      <c r="W48" s="174"/>
      <c r="X48" s="174"/>
      <c r="Y48" s="174"/>
      <c r="Z48" s="174"/>
      <c r="AA48" s="174"/>
      <c r="AB48" s="174"/>
      <c r="AC48" s="174"/>
      <c r="AD48" s="174"/>
      <c r="AE48" s="174"/>
      <c r="AF48" s="174"/>
      <c r="AG48" s="96"/>
      <c r="AH48" s="96"/>
      <c r="AI48" s="96"/>
      <c r="AJ48" s="96" t="s">
        <v>245</v>
      </c>
      <c r="AK48" s="96"/>
      <c r="AL48" s="96"/>
      <c r="AM48" s="96"/>
      <c r="AN48" s="96"/>
      <c r="AO48" s="96"/>
      <c r="AP48" s="96"/>
      <c r="AQ48" s="96"/>
      <c r="AR48" s="96"/>
      <c r="AS48" s="96"/>
      <c r="AT48" s="48"/>
      <c r="AU48" s="48"/>
      <c r="AV48" s="48"/>
      <c r="AW48" s="48"/>
      <c r="AX48" s="48"/>
    </row>
    <row r="49" spans="1:50">
      <c r="A49" s="231"/>
      <c r="B49" s="231"/>
      <c r="C49" s="231"/>
      <c r="D49" s="231"/>
      <c r="E49" s="231"/>
      <c r="F49" s="231"/>
      <c r="G49" s="231"/>
      <c r="H49" s="231"/>
      <c r="I49" s="231"/>
      <c r="J49" s="231"/>
      <c r="K49" s="231"/>
      <c r="L49" s="231"/>
      <c r="M49" s="231"/>
      <c r="N49" s="231"/>
      <c r="O49" s="231"/>
      <c r="P49" s="231"/>
      <c r="Q49" s="231"/>
      <c r="R49" s="231"/>
      <c r="S49" s="231"/>
      <c r="T49" s="231"/>
      <c r="U49" s="231"/>
      <c r="V49" s="231"/>
      <c r="W49" s="174"/>
      <c r="X49" s="174"/>
      <c r="Y49" s="174"/>
      <c r="Z49" s="174"/>
      <c r="AA49" s="174"/>
      <c r="AB49" s="174"/>
      <c r="AC49" s="174"/>
      <c r="AD49" s="174"/>
      <c r="AE49" s="174"/>
      <c r="AF49" s="174"/>
      <c r="AG49" s="96"/>
      <c r="AH49" s="96"/>
      <c r="AI49" s="96"/>
      <c r="AJ49" s="96" t="s">
        <v>10</v>
      </c>
      <c r="AK49" s="96"/>
      <c r="AL49" s="96"/>
      <c r="AM49" s="96"/>
      <c r="AN49" s="96"/>
      <c r="AO49" s="96"/>
      <c r="AP49" s="96"/>
      <c r="AQ49" s="96"/>
      <c r="AR49" s="96"/>
      <c r="AS49" s="96"/>
      <c r="AT49" s="48"/>
      <c r="AU49" s="48"/>
      <c r="AV49" s="48"/>
      <c r="AW49" s="48"/>
      <c r="AX49" s="48"/>
    </row>
    <row r="50" spans="1:50">
      <c r="A50" s="231"/>
      <c r="B50" s="231"/>
      <c r="C50" s="231"/>
      <c r="D50" s="231"/>
      <c r="E50" s="231"/>
      <c r="F50" s="231"/>
      <c r="G50" s="231"/>
      <c r="H50" s="231"/>
      <c r="I50" s="231"/>
      <c r="J50" s="231"/>
      <c r="K50" s="231"/>
      <c r="L50" s="231"/>
      <c r="M50" s="231"/>
      <c r="N50" s="231"/>
      <c r="O50" s="231"/>
      <c r="P50" s="231"/>
      <c r="Q50" s="231"/>
      <c r="R50" s="231"/>
      <c r="S50" s="231"/>
      <c r="T50" s="231"/>
      <c r="U50" s="231"/>
      <c r="V50" s="231"/>
      <c r="W50" s="174"/>
      <c r="X50" s="174"/>
      <c r="Y50" s="174"/>
      <c r="Z50" s="174"/>
      <c r="AA50" s="174"/>
      <c r="AB50" s="174"/>
      <c r="AC50" s="174"/>
      <c r="AD50" s="174"/>
      <c r="AE50" s="174"/>
      <c r="AF50" s="174"/>
      <c r="AG50" s="96"/>
      <c r="AH50" s="96"/>
      <c r="AI50" s="96"/>
      <c r="AJ50" s="96" t="s">
        <v>11</v>
      </c>
      <c r="AK50" s="96"/>
      <c r="AL50" s="96"/>
      <c r="AM50" s="96"/>
      <c r="AN50" s="96"/>
      <c r="AO50" s="96"/>
      <c r="AP50" s="96"/>
      <c r="AQ50" s="96"/>
      <c r="AR50" s="96"/>
      <c r="AS50" s="96"/>
      <c r="AT50" s="48"/>
      <c r="AU50" s="48"/>
      <c r="AV50" s="48"/>
      <c r="AW50" s="48"/>
      <c r="AX50" s="48"/>
    </row>
    <row r="51" spans="1:50">
      <c r="A51" s="231"/>
      <c r="B51" s="231"/>
      <c r="C51" s="231"/>
      <c r="D51" s="231"/>
      <c r="E51" s="231"/>
      <c r="F51" s="231"/>
      <c r="G51" s="231"/>
      <c r="H51" s="231"/>
      <c r="I51" s="231"/>
      <c r="J51" s="231"/>
      <c r="K51" s="231"/>
      <c r="L51" s="231"/>
      <c r="M51" s="231"/>
      <c r="N51" s="231"/>
      <c r="O51" s="231"/>
      <c r="P51" s="231"/>
      <c r="Q51" s="231"/>
      <c r="R51" s="231"/>
      <c r="S51" s="231"/>
      <c r="T51" s="231"/>
      <c r="U51" s="231"/>
      <c r="V51" s="231"/>
      <c r="W51" s="174"/>
      <c r="X51" s="174"/>
      <c r="Y51" s="174"/>
      <c r="Z51" s="174"/>
      <c r="AA51" s="174"/>
      <c r="AB51" s="174"/>
      <c r="AC51" s="174"/>
      <c r="AD51" s="174"/>
      <c r="AE51" s="174"/>
      <c r="AF51" s="174"/>
      <c r="AG51" s="96"/>
      <c r="AH51" s="96"/>
      <c r="AI51" s="96"/>
      <c r="AJ51" s="96"/>
      <c r="AK51" s="96"/>
      <c r="AL51" s="96"/>
      <c r="AM51" s="96"/>
      <c r="AN51" s="96"/>
      <c r="AO51" s="96"/>
      <c r="AP51" s="96"/>
      <c r="AQ51" s="96"/>
      <c r="AR51" s="96"/>
      <c r="AS51" s="96"/>
      <c r="AT51" s="48"/>
      <c r="AU51" s="48"/>
      <c r="AV51" s="48"/>
      <c r="AW51" s="48"/>
      <c r="AX51" s="48"/>
    </row>
    <row r="52" spans="1:50">
      <c r="A52" s="231"/>
      <c r="B52" s="231"/>
      <c r="C52" s="231"/>
      <c r="D52" s="231"/>
      <c r="E52" s="231"/>
      <c r="F52" s="231"/>
      <c r="G52" s="231"/>
      <c r="H52" s="231"/>
      <c r="I52" s="231"/>
      <c r="J52" s="231"/>
      <c r="K52" s="231"/>
      <c r="L52" s="231"/>
      <c r="M52" s="231"/>
      <c r="N52" s="231"/>
      <c r="O52" s="231"/>
      <c r="P52" s="231"/>
      <c r="Q52" s="231"/>
      <c r="R52" s="231"/>
      <c r="S52" s="231"/>
      <c r="T52" s="231"/>
      <c r="U52" s="231"/>
      <c r="V52" s="231"/>
      <c r="W52" s="174"/>
      <c r="X52" s="174"/>
      <c r="Y52" s="174"/>
      <c r="Z52" s="174"/>
      <c r="AA52" s="174"/>
      <c r="AB52" s="174"/>
      <c r="AC52" s="174"/>
      <c r="AD52" s="174"/>
      <c r="AE52" s="174"/>
      <c r="AF52" s="174"/>
      <c r="AG52" s="96"/>
      <c r="AH52" s="96"/>
      <c r="AI52" s="96"/>
      <c r="AJ52" s="96"/>
      <c r="AK52" s="96"/>
      <c r="AL52" s="96"/>
      <c r="AM52" s="96"/>
      <c r="AN52" s="96"/>
      <c r="AO52" s="96"/>
      <c r="AP52" s="96"/>
      <c r="AQ52" s="96"/>
      <c r="AR52" s="96"/>
      <c r="AS52" s="96"/>
      <c r="AT52" s="48"/>
      <c r="AU52" s="48"/>
      <c r="AV52" s="48"/>
      <c r="AW52" s="48"/>
      <c r="AX52" s="48"/>
    </row>
    <row r="53" spans="1:50">
      <c r="A53" s="231"/>
      <c r="B53" s="231"/>
      <c r="C53" s="231"/>
      <c r="D53" s="231"/>
      <c r="E53" s="231"/>
      <c r="F53" s="231"/>
      <c r="G53" s="231"/>
      <c r="H53" s="231"/>
      <c r="I53" s="231"/>
      <c r="J53" s="231"/>
      <c r="K53" s="231"/>
      <c r="L53" s="231"/>
      <c r="M53" s="231"/>
      <c r="N53" s="231"/>
      <c r="O53" s="231"/>
      <c r="P53" s="231"/>
      <c r="Q53" s="231"/>
      <c r="R53" s="231"/>
      <c r="S53" s="231"/>
      <c r="T53" s="231"/>
      <c r="U53" s="231"/>
      <c r="V53" s="231"/>
      <c r="W53" s="174"/>
      <c r="X53" s="174"/>
      <c r="Y53" s="174"/>
      <c r="Z53" s="174"/>
      <c r="AA53" s="174"/>
      <c r="AB53" s="174"/>
      <c r="AC53" s="174"/>
      <c r="AD53" s="174"/>
      <c r="AE53" s="174"/>
      <c r="AF53" s="174"/>
      <c r="AG53" s="96"/>
      <c r="AH53" s="96"/>
      <c r="AI53" s="96"/>
      <c r="AJ53" s="96"/>
      <c r="AK53" s="96"/>
      <c r="AL53" s="96"/>
      <c r="AM53" s="96"/>
      <c r="AN53" s="96"/>
      <c r="AO53" s="96"/>
      <c r="AP53" s="96"/>
      <c r="AQ53" s="96"/>
      <c r="AR53" s="96"/>
      <c r="AS53" s="96"/>
      <c r="AT53" s="48"/>
      <c r="AU53" s="48"/>
      <c r="AV53" s="48"/>
      <c r="AW53" s="48"/>
      <c r="AX53" s="48"/>
    </row>
    <row r="54" spans="1:50">
      <c r="A54" s="231"/>
      <c r="B54" s="231"/>
      <c r="C54" s="231"/>
      <c r="D54" s="231"/>
      <c r="E54" s="231"/>
      <c r="F54" s="231"/>
      <c r="G54" s="231"/>
      <c r="H54" s="231"/>
      <c r="I54" s="231"/>
      <c r="J54" s="231"/>
      <c r="K54" s="231"/>
      <c r="L54" s="231"/>
      <c r="M54" s="231"/>
      <c r="N54" s="231"/>
      <c r="O54" s="231"/>
      <c r="P54" s="231"/>
      <c r="Q54" s="231"/>
      <c r="R54" s="231"/>
      <c r="S54" s="231"/>
      <c r="T54" s="231"/>
      <c r="U54" s="231"/>
      <c r="V54" s="231"/>
      <c r="W54" s="174"/>
      <c r="X54" s="174"/>
      <c r="Y54" s="174"/>
      <c r="Z54" s="174"/>
      <c r="AA54" s="174"/>
      <c r="AB54" s="174"/>
      <c r="AC54" s="174"/>
      <c r="AD54" s="174"/>
      <c r="AE54" s="174"/>
      <c r="AF54" s="174"/>
      <c r="AG54" s="96"/>
      <c r="AH54" s="96"/>
      <c r="AI54" s="96"/>
      <c r="AJ54" s="96"/>
      <c r="AK54" s="96"/>
      <c r="AL54" s="96"/>
      <c r="AM54" s="96"/>
      <c r="AN54" s="96"/>
      <c r="AO54" s="96"/>
      <c r="AP54" s="96"/>
      <c r="AQ54" s="96"/>
      <c r="AR54" s="96"/>
      <c r="AS54" s="96"/>
      <c r="AT54" s="48"/>
      <c r="AU54" s="48"/>
      <c r="AV54" s="48"/>
      <c r="AW54" s="48"/>
      <c r="AX54" s="48"/>
    </row>
    <row r="55" spans="1:50">
      <c r="A55" s="231"/>
      <c r="B55" s="231"/>
      <c r="C55" s="231"/>
      <c r="D55" s="231"/>
      <c r="E55" s="231"/>
      <c r="F55" s="231"/>
      <c r="G55" s="231"/>
      <c r="H55" s="231"/>
      <c r="I55" s="231"/>
      <c r="J55" s="231"/>
      <c r="K55" s="231"/>
      <c r="L55" s="231"/>
      <c r="M55" s="231"/>
      <c r="N55" s="231"/>
      <c r="O55" s="231"/>
      <c r="P55" s="231"/>
      <c r="Q55" s="231"/>
      <c r="R55" s="231"/>
      <c r="S55" s="231"/>
      <c r="T55" s="231"/>
      <c r="U55" s="231"/>
      <c r="V55" s="231"/>
      <c r="W55" s="174"/>
      <c r="X55" s="174"/>
      <c r="Y55" s="174"/>
      <c r="Z55" s="174"/>
      <c r="AA55" s="174"/>
      <c r="AB55" s="174"/>
      <c r="AC55" s="174"/>
      <c r="AD55" s="174"/>
      <c r="AE55" s="174"/>
      <c r="AF55" s="174"/>
      <c r="AG55" s="96"/>
      <c r="AH55" s="96"/>
      <c r="AI55" s="96"/>
      <c r="AJ55" s="96"/>
      <c r="AK55" s="96"/>
      <c r="AL55" s="96"/>
      <c r="AM55" s="96"/>
      <c r="AN55" s="96"/>
      <c r="AO55" s="96"/>
      <c r="AP55" s="96"/>
      <c r="AQ55" s="96"/>
      <c r="AR55" s="96"/>
      <c r="AS55" s="96"/>
      <c r="AT55" s="48"/>
      <c r="AU55" s="48"/>
      <c r="AV55" s="48"/>
      <c r="AW55" s="48"/>
      <c r="AX55" s="48"/>
    </row>
    <row r="56" spans="1:50">
      <c r="A56" s="231"/>
      <c r="B56" s="231"/>
      <c r="C56" s="231"/>
      <c r="D56" s="231"/>
      <c r="E56" s="231"/>
      <c r="F56" s="231"/>
      <c r="G56" s="231"/>
      <c r="H56" s="231"/>
      <c r="I56" s="231"/>
      <c r="J56" s="231"/>
      <c r="K56" s="231"/>
      <c r="L56" s="231"/>
      <c r="M56" s="231"/>
      <c r="N56" s="231"/>
      <c r="O56" s="231"/>
      <c r="P56" s="231"/>
      <c r="Q56" s="231"/>
      <c r="R56" s="231"/>
      <c r="S56" s="231"/>
      <c r="T56" s="231"/>
      <c r="U56" s="231"/>
      <c r="V56" s="231"/>
      <c r="W56" s="174"/>
      <c r="X56" s="174"/>
      <c r="Y56" s="174"/>
      <c r="Z56" s="174"/>
      <c r="AA56" s="174"/>
      <c r="AB56" s="174"/>
      <c r="AC56" s="174"/>
      <c r="AD56" s="174"/>
      <c r="AE56" s="174"/>
      <c r="AF56" s="174"/>
      <c r="AG56" s="96"/>
      <c r="AH56" s="96"/>
      <c r="AI56" s="96"/>
      <c r="AJ56" s="96"/>
      <c r="AK56" s="96"/>
      <c r="AL56" s="96"/>
      <c r="AM56" s="96"/>
      <c r="AN56" s="96"/>
      <c r="AO56" s="96"/>
      <c r="AP56" s="96"/>
      <c r="AQ56" s="96"/>
      <c r="AR56" s="96"/>
      <c r="AS56" s="96"/>
      <c r="AT56" s="48"/>
      <c r="AU56" s="48"/>
      <c r="AV56" s="48"/>
      <c r="AW56" s="48"/>
      <c r="AX56" s="48"/>
    </row>
    <row r="57" spans="1:50">
      <c r="A57" s="231"/>
      <c r="B57" s="231"/>
      <c r="C57" s="231"/>
      <c r="D57" s="231"/>
      <c r="E57" s="231"/>
      <c r="F57" s="231"/>
      <c r="G57" s="231"/>
      <c r="H57" s="231"/>
      <c r="I57" s="231"/>
      <c r="J57" s="231"/>
      <c r="K57" s="231"/>
      <c r="L57" s="231"/>
      <c r="M57" s="231"/>
      <c r="N57" s="231"/>
      <c r="O57" s="231"/>
      <c r="P57" s="231"/>
      <c r="Q57" s="231"/>
      <c r="R57" s="231"/>
      <c r="S57" s="231"/>
      <c r="T57" s="231"/>
      <c r="U57" s="231"/>
      <c r="V57" s="231"/>
      <c r="W57" s="174"/>
      <c r="X57" s="174"/>
      <c r="Y57" s="174"/>
      <c r="Z57" s="174"/>
      <c r="AA57" s="174"/>
      <c r="AB57" s="174"/>
      <c r="AC57" s="174"/>
      <c r="AD57" s="174"/>
      <c r="AE57" s="174"/>
      <c r="AF57" s="174"/>
      <c r="AG57" s="96"/>
      <c r="AH57" s="96"/>
      <c r="AI57" s="96"/>
      <c r="AJ57" s="96"/>
      <c r="AK57" s="96"/>
      <c r="AL57" s="96"/>
      <c r="AM57" s="96"/>
      <c r="AN57" s="96"/>
      <c r="AO57" s="96"/>
      <c r="AP57" s="96"/>
      <c r="AQ57" s="96"/>
      <c r="AR57" s="96"/>
      <c r="AS57" s="96"/>
      <c r="AT57" s="48"/>
      <c r="AU57" s="48"/>
      <c r="AV57" s="48"/>
      <c r="AW57" s="48"/>
      <c r="AX57" s="48"/>
    </row>
    <row r="58" spans="1:50">
      <c r="A58" s="231"/>
      <c r="B58" s="231"/>
      <c r="C58" s="231"/>
      <c r="D58" s="231"/>
      <c r="E58" s="231"/>
      <c r="F58" s="231"/>
      <c r="G58" s="231"/>
      <c r="H58" s="231"/>
      <c r="I58" s="231"/>
      <c r="J58" s="231"/>
      <c r="K58" s="231"/>
      <c r="L58" s="231"/>
      <c r="M58" s="231"/>
      <c r="N58" s="231"/>
      <c r="O58" s="231"/>
      <c r="P58" s="231"/>
      <c r="Q58" s="231"/>
      <c r="R58" s="231"/>
      <c r="S58" s="231"/>
      <c r="T58" s="231"/>
      <c r="U58" s="231"/>
      <c r="V58" s="231"/>
      <c r="W58" s="174"/>
      <c r="X58" s="174"/>
      <c r="Y58" s="174"/>
      <c r="Z58" s="174"/>
      <c r="AA58" s="174"/>
      <c r="AB58" s="174"/>
      <c r="AC58" s="174"/>
      <c r="AD58" s="174"/>
      <c r="AE58" s="174"/>
      <c r="AF58" s="174"/>
      <c r="AG58" s="96"/>
      <c r="AH58" s="96"/>
      <c r="AI58" s="96"/>
      <c r="AJ58" s="96"/>
      <c r="AK58" s="96"/>
      <c r="AL58" s="96"/>
      <c r="AM58" s="96"/>
      <c r="AN58" s="96"/>
      <c r="AO58" s="96"/>
      <c r="AP58" s="96"/>
      <c r="AQ58" s="96"/>
      <c r="AR58" s="96"/>
      <c r="AS58" s="96"/>
      <c r="AT58" s="48"/>
      <c r="AU58" s="48"/>
      <c r="AV58" s="48"/>
      <c r="AW58" s="48"/>
      <c r="AX58" s="48"/>
    </row>
    <row r="59" spans="1:50">
      <c r="A59" s="231"/>
      <c r="B59" s="231"/>
      <c r="C59" s="231"/>
      <c r="D59" s="231"/>
      <c r="E59" s="231"/>
      <c r="F59" s="231"/>
      <c r="G59" s="231"/>
      <c r="H59" s="231"/>
      <c r="I59" s="231"/>
      <c r="J59" s="231"/>
      <c r="K59" s="231"/>
      <c r="L59" s="231"/>
      <c r="M59" s="231"/>
      <c r="N59" s="231"/>
      <c r="O59" s="231"/>
      <c r="P59" s="231"/>
      <c r="Q59" s="231"/>
      <c r="R59" s="231"/>
      <c r="S59" s="231"/>
      <c r="T59" s="231"/>
      <c r="U59" s="231"/>
      <c r="V59" s="231"/>
      <c r="W59" s="174"/>
      <c r="X59" s="174"/>
      <c r="Y59" s="174"/>
      <c r="Z59" s="174"/>
      <c r="AA59" s="174"/>
      <c r="AB59" s="174"/>
      <c r="AC59" s="174"/>
      <c r="AD59" s="174"/>
      <c r="AE59" s="174"/>
      <c r="AF59" s="174"/>
      <c r="AG59" s="96"/>
      <c r="AH59" s="96"/>
      <c r="AI59" s="96"/>
      <c r="AJ59" s="96"/>
      <c r="AK59" s="96"/>
      <c r="AL59" s="96"/>
      <c r="AM59" s="96"/>
      <c r="AN59" s="96"/>
      <c r="AO59" s="96"/>
      <c r="AP59" s="96"/>
      <c r="AQ59" s="96"/>
      <c r="AR59" s="96"/>
      <c r="AS59" s="96"/>
      <c r="AT59" s="48"/>
      <c r="AU59" s="48"/>
      <c r="AV59" s="48"/>
      <c r="AW59" s="48"/>
      <c r="AX59" s="48"/>
    </row>
    <row r="60" spans="1:50">
      <c r="A60" s="231"/>
      <c r="B60" s="231"/>
      <c r="C60" s="231"/>
      <c r="D60" s="231"/>
      <c r="E60" s="231"/>
      <c r="F60" s="231"/>
      <c r="G60" s="231"/>
      <c r="H60" s="231"/>
      <c r="I60" s="231"/>
      <c r="J60" s="231"/>
      <c r="K60" s="231"/>
      <c r="L60" s="231"/>
      <c r="M60" s="231"/>
      <c r="N60" s="231"/>
      <c r="O60" s="231"/>
      <c r="P60" s="231"/>
      <c r="Q60" s="231"/>
      <c r="R60" s="231"/>
      <c r="S60" s="231"/>
      <c r="T60" s="231"/>
      <c r="U60" s="231"/>
      <c r="V60" s="231"/>
      <c r="W60" s="174"/>
      <c r="X60" s="174"/>
      <c r="Y60" s="174"/>
      <c r="Z60" s="174"/>
      <c r="AA60" s="174"/>
      <c r="AB60" s="174"/>
      <c r="AC60" s="174"/>
      <c r="AD60" s="174"/>
      <c r="AE60" s="174"/>
      <c r="AF60" s="174"/>
      <c r="AG60" s="96"/>
      <c r="AH60" s="96"/>
      <c r="AI60" s="96"/>
      <c r="AJ60" s="96"/>
      <c r="AK60" s="96"/>
      <c r="AL60" s="96"/>
      <c r="AM60" s="96"/>
      <c r="AN60" s="96"/>
      <c r="AO60" s="96"/>
      <c r="AP60" s="96"/>
      <c r="AQ60" s="96"/>
      <c r="AR60" s="96"/>
      <c r="AS60" s="96"/>
      <c r="AT60" s="48"/>
      <c r="AU60" s="48"/>
      <c r="AV60" s="48"/>
      <c r="AW60" s="48"/>
      <c r="AX60" s="48"/>
    </row>
    <row r="61" spans="1:50">
      <c r="A61" s="231"/>
      <c r="B61" s="231"/>
      <c r="C61" s="231"/>
      <c r="D61" s="231"/>
      <c r="E61" s="231"/>
      <c r="F61" s="231"/>
      <c r="G61" s="231"/>
      <c r="H61" s="231"/>
      <c r="I61" s="231"/>
      <c r="J61" s="231"/>
      <c r="K61" s="231"/>
      <c r="L61" s="231"/>
      <c r="M61" s="231"/>
      <c r="N61" s="231"/>
      <c r="O61" s="231"/>
      <c r="P61" s="231"/>
      <c r="Q61" s="231"/>
      <c r="R61" s="231"/>
      <c r="S61" s="231"/>
      <c r="T61" s="231"/>
      <c r="U61" s="231"/>
      <c r="V61" s="231"/>
      <c r="W61" s="174"/>
      <c r="X61" s="174"/>
      <c r="Y61" s="174"/>
      <c r="Z61" s="174"/>
      <c r="AA61" s="174"/>
      <c r="AB61" s="174"/>
      <c r="AC61" s="174"/>
      <c r="AD61" s="174"/>
      <c r="AE61" s="174"/>
      <c r="AF61" s="174"/>
      <c r="AG61" s="96"/>
      <c r="AH61" s="96"/>
      <c r="AI61" s="96"/>
      <c r="AJ61" s="96"/>
      <c r="AK61" s="96"/>
      <c r="AL61" s="96"/>
      <c r="AM61" s="96"/>
      <c r="AN61" s="96"/>
      <c r="AO61" s="96"/>
      <c r="AP61" s="96"/>
      <c r="AQ61" s="96"/>
      <c r="AR61" s="96"/>
      <c r="AS61" s="96"/>
      <c r="AT61" s="48"/>
      <c r="AU61" s="48"/>
      <c r="AV61" s="48"/>
      <c r="AW61" s="48"/>
      <c r="AX61" s="48"/>
    </row>
    <row r="62" spans="1:50">
      <c r="A62" s="231"/>
      <c r="B62" s="231"/>
      <c r="C62" s="231"/>
      <c r="D62" s="231"/>
      <c r="E62" s="231"/>
      <c r="F62" s="231"/>
      <c r="G62" s="231"/>
      <c r="H62" s="231"/>
      <c r="I62" s="231"/>
      <c r="J62" s="231"/>
      <c r="K62" s="231"/>
      <c r="L62" s="231"/>
      <c r="M62" s="231"/>
      <c r="N62" s="231"/>
      <c r="O62" s="231"/>
      <c r="P62" s="231"/>
      <c r="Q62" s="231"/>
      <c r="R62" s="231"/>
      <c r="S62" s="231"/>
      <c r="T62" s="231"/>
      <c r="U62" s="231"/>
      <c r="V62" s="231"/>
      <c r="W62" s="174"/>
      <c r="X62" s="174"/>
      <c r="Y62" s="174"/>
      <c r="Z62" s="174"/>
      <c r="AA62" s="174"/>
      <c r="AB62" s="174"/>
      <c r="AC62" s="174"/>
      <c r="AD62" s="174"/>
      <c r="AE62" s="174"/>
      <c r="AF62" s="174"/>
      <c r="AG62" s="96"/>
      <c r="AH62" s="96"/>
      <c r="AI62" s="96"/>
      <c r="AJ62" s="96"/>
      <c r="AK62" s="96"/>
      <c r="AL62" s="96"/>
      <c r="AM62" s="96"/>
      <c r="AN62" s="96"/>
      <c r="AO62" s="96"/>
      <c r="AP62" s="96"/>
      <c r="AQ62" s="96"/>
      <c r="AR62" s="96"/>
      <c r="AS62" s="96"/>
      <c r="AT62" s="48"/>
      <c r="AU62" s="48"/>
      <c r="AV62" s="48"/>
      <c r="AW62" s="48"/>
      <c r="AX62" s="48"/>
    </row>
    <row r="63" spans="1:50">
      <c r="A63" s="231"/>
      <c r="B63" s="231"/>
      <c r="C63" s="231"/>
      <c r="D63" s="231"/>
      <c r="E63" s="231"/>
      <c r="F63" s="231"/>
      <c r="G63" s="231"/>
      <c r="H63" s="231"/>
      <c r="I63" s="231"/>
      <c r="J63" s="231"/>
      <c r="K63" s="231"/>
      <c r="L63" s="231"/>
      <c r="M63" s="231"/>
      <c r="N63" s="231"/>
      <c r="O63" s="231"/>
      <c r="P63" s="231"/>
      <c r="Q63" s="231"/>
      <c r="R63" s="231"/>
      <c r="S63" s="231"/>
      <c r="T63" s="231"/>
      <c r="U63" s="231"/>
      <c r="V63" s="231"/>
      <c r="W63" s="174"/>
      <c r="X63" s="174"/>
      <c r="Y63" s="174"/>
      <c r="Z63" s="174"/>
      <c r="AA63" s="174"/>
      <c r="AB63" s="174"/>
      <c r="AC63" s="174"/>
      <c r="AD63" s="174"/>
      <c r="AE63" s="174"/>
      <c r="AF63" s="174"/>
      <c r="AG63" s="96"/>
      <c r="AH63" s="96"/>
      <c r="AI63" s="96"/>
      <c r="AJ63" s="96"/>
      <c r="AK63" s="96"/>
      <c r="AL63" s="96"/>
      <c r="AM63" s="96"/>
      <c r="AN63" s="96"/>
      <c r="AO63" s="96"/>
      <c r="AP63" s="96"/>
      <c r="AQ63" s="96"/>
      <c r="AR63" s="96"/>
      <c r="AS63" s="96"/>
      <c r="AT63" s="48"/>
      <c r="AU63" s="48"/>
      <c r="AV63" s="48"/>
      <c r="AW63" s="48"/>
      <c r="AX63" s="48"/>
    </row>
    <row r="64" spans="1:50">
      <c r="A64" s="231"/>
      <c r="B64" s="231"/>
      <c r="C64" s="231"/>
      <c r="D64" s="231"/>
      <c r="E64" s="231"/>
      <c r="F64" s="231"/>
      <c r="G64" s="231"/>
      <c r="H64" s="231"/>
      <c r="I64" s="231"/>
      <c r="J64" s="231"/>
      <c r="K64" s="231"/>
      <c r="L64" s="231"/>
      <c r="M64" s="231"/>
      <c r="N64" s="231"/>
      <c r="O64" s="231"/>
      <c r="P64" s="231"/>
      <c r="Q64" s="231"/>
      <c r="R64" s="231"/>
      <c r="S64" s="231"/>
      <c r="T64" s="231"/>
      <c r="U64" s="231"/>
      <c r="V64" s="231"/>
      <c r="W64" s="174"/>
      <c r="X64" s="174"/>
      <c r="Y64" s="174"/>
      <c r="Z64" s="174"/>
      <c r="AA64" s="174"/>
      <c r="AB64" s="174"/>
      <c r="AC64" s="174"/>
      <c r="AD64" s="174"/>
      <c r="AE64" s="174"/>
      <c r="AF64" s="174"/>
      <c r="AG64" s="96"/>
      <c r="AH64" s="96"/>
      <c r="AI64" s="96"/>
      <c r="AJ64" s="96"/>
      <c r="AK64" s="96"/>
      <c r="AL64" s="96"/>
      <c r="AM64" s="96"/>
      <c r="AN64" s="96"/>
      <c r="AO64" s="96"/>
      <c r="AP64" s="96"/>
      <c r="AQ64" s="96"/>
      <c r="AR64" s="96"/>
      <c r="AS64" s="96"/>
      <c r="AT64" s="48"/>
      <c r="AU64" s="48"/>
      <c r="AV64" s="48"/>
      <c r="AW64" s="48"/>
      <c r="AX64" s="48"/>
    </row>
    <row r="65" spans="1:50">
      <c r="A65" s="231"/>
      <c r="B65" s="231"/>
      <c r="C65" s="231"/>
      <c r="D65" s="231"/>
      <c r="E65" s="231"/>
      <c r="F65" s="231"/>
      <c r="G65" s="231"/>
      <c r="H65" s="231"/>
      <c r="I65" s="231"/>
      <c r="J65" s="231"/>
      <c r="K65" s="231"/>
      <c r="L65" s="231"/>
      <c r="M65" s="231"/>
      <c r="N65" s="231"/>
      <c r="O65" s="231"/>
      <c r="P65" s="231"/>
      <c r="Q65" s="231"/>
      <c r="R65" s="231"/>
      <c r="S65" s="231"/>
      <c r="T65" s="231"/>
      <c r="U65" s="231"/>
      <c r="V65" s="231"/>
      <c r="W65" s="174"/>
      <c r="X65" s="174"/>
      <c r="Y65" s="174"/>
      <c r="Z65" s="174"/>
      <c r="AA65" s="174"/>
      <c r="AB65" s="174"/>
      <c r="AC65" s="174"/>
      <c r="AD65" s="174"/>
      <c r="AE65" s="174"/>
      <c r="AF65" s="174"/>
      <c r="AG65" s="96"/>
      <c r="AH65" s="96"/>
      <c r="AI65" s="96"/>
      <c r="AJ65" s="96"/>
      <c r="AK65" s="96"/>
      <c r="AL65" s="96"/>
      <c r="AM65" s="96"/>
      <c r="AN65" s="96"/>
      <c r="AO65" s="96"/>
      <c r="AP65" s="96"/>
      <c r="AQ65" s="96"/>
      <c r="AR65" s="96"/>
      <c r="AS65" s="96"/>
      <c r="AT65" s="48"/>
      <c r="AU65" s="48"/>
      <c r="AV65" s="48"/>
      <c r="AW65" s="48"/>
      <c r="AX65" s="48"/>
    </row>
    <row r="66" spans="1:50">
      <c r="A66" s="231"/>
      <c r="B66" s="231"/>
      <c r="C66" s="231"/>
      <c r="D66" s="231"/>
      <c r="E66" s="231"/>
      <c r="F66" s="231"/>
      <c r="G66" s="231"/>
      <c r="H66" s="231"/>
      <c r="I66" s="231"/>
      <c r="J66" s="231"/>
      <c r="K66" s="231"/>
      <c r="L66" s="231"/>
      <c r="M66" s="231"/>
      <c r="N66" s="231"/>
      <c r="O66" s="231"/>
      <c r="P66" s="231"/>
      <c r="Q66" s="231"/>
      <c r="R66" s="231"/>
      <c r="S66" s="231"/>
      <c r="T66" s="231"/>
      <c r="U66" s="231"/>
      <c r="V66" s="231"/>
      <c r="W66" s="174"/>
      <c r="X66" s="174"/>
      <c r="Y66" s="174"/>
      <c r="Z66" s="174"/>
      <c r="AA66" s="174"/>
      <c r="AB66" s="174"/>
      <c r="AC66" s="174"/>
      <c r="AD66" s="174"/>
      <c r="AE66" s="174"/>
      <c r="AF66" s="174"/>
      <c r="AG66" s="96"/>
      <c r="AH66" s="96"/>
      <c r="AI66" s="96"/>
      <c r="AJ66" s="96"/>
      <c r="AK66" s="96"/>
      <c r="AL66" s="96"/>
      <c r="AM66" s="96"/>
      <c r="AN66" s="96"/>
      <c r="AO66" s="96"/>
      <c r="AP66" s="96"/>
      <c r="AQ66" s="96"/>
      <c r="AR66" s="96"/>
      <c r="AS66" s="96"/>
      <c r="AT66" s="48"/>
      <c r="AU66" s="48"/>
      <c r="AV66" s="48"/>
      <c r="AW66" s="48"/>
      <c r="AX66" s="48"/>
    </row>
    <row r="67" spans="1:50">
      <c r="A67" s="231"/>
      <c r="B67" s="231"/>
      <c r="C67" s="231"/>
      <c r="D67" s="231"/>
      <c r="E67" s="231"/>
      <c r="F67" s="231"/>
      <c r="G67" s="231"/>
      <c r="H67" s="231"/>
      <c r="I67" s="231"/>
      <c r="J67" s="231"/>
      <c r="K67" s="231"/>
      <c r="L67" s="231"/>
      <c r="M67" s="231"/>
      <c r="N67" s="231"/>
      <c r="O67" s="231"/>
      <c r="P67" s="231"/>
      <c r="Q67" s="231"/>
      <c r="R67" s="231"/>
      <c r="S67" s="231"/>
      <c r="T67" s="231"/>
      <c r="U67" s="231"/>
      <c r="V67" s="231"/>
      <c r="W67" s="174"/>
      <c r="X67" s="174"/>
      <c r="Y67" s="174"/>
      <c r="Z67" s="174"/>
      <c r="AA67" s="174"/>
      <c r="AB67" s="174"/>
      <c r="AC67" s="174"/>
      <c r="AD67" s="174"/>
      <c r="AE67" s="174"/>
      <c r="AF67" s="174"/>
      <c r="AG67" s="96"/>
      <c r="AH67" s="96"/>
      <c r="AI67" s="96"/>
      <c r="AJ67" s="96"/>
      <c r="AK67" s="96"/>
      <c r="AL67" s="96"/>
      <c r="AM67" s="96"/>
      <c r="AN67" s="96"/>
      <c r="AO67" s="96"/>
      <c r="AP67" s="96"/>
      <c r="AQ67" s="96"/>
      <c r="AR67" s="96"/>
      <c r="AS67" s="96"/>
      <c r="AT67" s="48"/>
      <c r="AU67" s="48"/>
      <c r="AV67" s="48"/>
      <c r="AW67" s="48"/>
      <c r="AX67" s="48"/>
    </row>
    <row r="68" spans="1:50">
      <c r="A68" s="231"/>
      <c r="B68" s="231"/>
      <c r="C68" s="231"/>
      <c r="D68" s="231"/>
      <c r="E68" s="231"/>
      <c r="F68" s="231"/>
      <c r="G68" s="231"/>
      <c r="H68" s="231"/>
      <c r="I68" s="231"/>
      <c r="J68" s="231"/>
      <c r="K68" s="231"/>
      <c r="L68" s="231"/>
      <c r="M68" s="231"/>
      <c r="N68" s="231"/>
      <c r="O68" s="231"/>
      <c r="P68" s="231"/>
      <c r="Q68" s="231"/>
      <c r="R68" s="231"/>
      <c r="S68" s="231"/>
      <c r="T68" s="231"/>
      <c r="U68" s="231"/>
      <c r="V68" s="231"/>
      <c r="W68" s="174"/>
      <c r="X68" s="174"/>
      <c r="Y68" s="174"/>
      <c r="Z68" s="174"/>
      <c r="AA68" s="174"/>
      <c r="AB68" s="174"/>
      <c r="AC68" s="174"/>
      <c r="AD68" s="174"/>
      <c r="AE68" s="174"/>
      <c r="AF68" s="174"/>
      <c r="AG68" s="96"/>
      <c r="AH68" s="96"/>
      <c r="AI68" s="96"/>
      <c r="AJ68" s="96"/>
      <c r="AK68" s="96"/>
      <c r="AL68" s="96"/>
      <c r="AM68" s="96"/>
      <c r="AN68" s="96"/>
      <c r="AO68" s="96"/>
      <c r="AP68" s="96"/>
      <c r="AQ68" s="96"/>
      <c r="AR68" s="96"/>
      <c r="AS68" s="96"/>
      <c r="AT68" s="48"/>
      <c r="AU68" s="48"/>
      <c r="AV68" s="48"/>
      <c r="AW68" s="48"/>
      <c r="AX68" s="48"/>
    </row>
    <row r="69" spans="1:50">
      <c r="A69" s="231"/>
      <c r="B69" s="231"/>
      <c r="C69" s="231"/>
      <c r="D69" s="231"/>
      <c r="E69" s="231"/>
      <c r="F69" s="231"/>
      <c r="G69" s="231"/>
      <c r="H69" s="231"/>
      <c r="I69" s="231"/>
      <c r="J69" s="231"/>
      <c r="K69" s="231"/>
      <c r="L69" s="231"/>
      <c r="M69" s="231"/>
      <c r="N69" s="231"/>
      <c r="O69" s="231"/>
      <c r="P69" s="231"/>
      <c r="Q69" s="231"/>
      <c r="R69" s="231"/>
      <c r="S69" s="231"/>
      <c r="T69" s="231"/>
      <c r="U69" s="231"/>
      <c r="V69" s="231"/>
      <c r="W69" s="174"/>
      <c r="X69" s="174"/>
      <c r="Y69" s="174"/>
      <c r="Z69" s="174"/>
      <c r="AA69" s="174"/>
      <c r="AB69" s="174"/>
      <c r="AC69" s="174"/>
      <c r="AD69" s="174"/>
      <c r="AE69" s="174"/>
      <c r="AF69" s="174"/>
      <c r="AG69" s="96"/>
      <c r="AH69" s="96"/>
      <c r="AI69" s="96"/>
      <c r="AJ69" s="96"/>
      <c r="AK69" s="96"/>
      <c r="AL69" s="96"/>
      <c r="AM69" s="96"/>
      <c r="AN69" s="96"/>
      <c r="AO69" s="96"/>
      <c r="AP69" s="96"/>
      <c r="AQ69" s="96"/>
      <c r="AR69" s="96"/>
      <c r="AS69" s="96"/>
      <c r="AT69" s="48"/>
      <c r="AU69" s="48"/>
      <c r="AV69" s="48"/>
      <c r="AW69" s="48"/>
      <c r="AX69" s="48"/>
    </row>
    <row r="70" spans="1:50">
      <c r="A70" s="231"/>
      <c r="B70" s="231"/>
      <c r="C70" s="231"/>
      <c r="D70" s="231"/>
      <c r="E70" s="231"/>
      <c r="F70" s="231"/>
      <c r="G70" s="231"/>
      <c r="H70" s="231"/>
      <c r="I70" s="231"/>
      <c r="J70" s="231"/>
      <c r="K70" s="231"/>
      <c r="L70" s="231"/>
      <c r="M70" s="231"/>
      <c r="N70" s="231"/>
      <c r="O70" s="231"/>
      <c r="P70" s="231"/>
      <c r="Q70" s="231"/>
      <c r="R70" s="231"/>
      <c r="S70" s="231"/>
      <c r="T70" s="231"/>
      <c r="U70" s="231"/>
      <c r="V70" s="231"/>
      <c r="W70" s="174"/>
      <c r="X70" s="174"/>
      <c r="Y70" s="174"/>
      <c r="Z70" s="174"/>
      <c r="AA70" s="174"/>
      <c r="AB70" s="174"/>
      <c r="AC70" s="174"/>
      <c r="AD70" s="174"/>
      <c r="AE70" s="174"/>
      <c r="AF70" s="174"/>
      <c r="AG70" s="96"/>
      <c r="AH70" s="96"/>
      <c r="AI70" s="96"/>
      <c r="AJ70" s="96"/>
      <c r="AK70" s="96"/>
      <c r="AL70" s="96"/>
      <c r="AM70" s="96"/>
      <c r="AN70" s="96"/>
      <c r="AO70" s="96"/>
      <c r="AP70" s="96"/>
      <c r="AQ70" s="96"/>
      <c r="AR70" s="96"/>
      <c r="AS70" s="96"/>
      <c r="AT70" s="48"/>
      <c r="AU70" s="48"/>
      <c r="AV70" s="48"/>
      <c r="AW70" s="48"/>
      <c r="AX70" s="48"/>
    </row>
    <row r="71" spans="1:50">
      <c r="A71" s="231"/>
      <c r="B71" s="231"/>
      <c r="C71" s="231"/>
      <c r="D71" s="231"/>
      <c r="E71" s="231"/>
      <c r="F71" s="231"/>
      <c r="G71" s="231"/>
      <c r="H71" s="231"/>
      <c r="I71" s="231"/>
      <c r="J71" s="231"/>
      <c r="K71" s="231"/>
      <c r="L71" s="231"/>
      <c r="M71" s="231"/>
      <c r="N71" s="231"/>
      <c r="O71" s="231"/>
      <c r="P71" s="231"/>
      <c r="Q71" s="231"/>
      <c r="R71" s="231"/>
      <c r="S71" s="231"/>
      <c r="T71" s="231"/>
      <c r="U71" s="231"/>
      <c r="V71" s="231"/>
      <c r="W71" s="174"/>
      <c r="X71" s="174"/>
      <c r="Y71" s="174"/>
      <c r="Z71" s="174"/>
      <c r="AA71" s="174"/>
      <c r="AB71" s="174"/>
      <c r="AC71" s="174"/>
      <c r="AD71" s="174"/>
      <c r="AE71" s="174"/>
      <c r="AF71" s="174"/>
      <c r="AG71" s="96"/>
      <c r="AH71" s="96"/>
      <c r="AI71" s="96"/>
      <c r="AJ71" s="96"/>
      <c r="AK71" s="96"/>
      <c r="AL71" s="96"/>
      <c r="AM71" s="96"/>
      <c r="AN71" s="96"/>
      <c r="AO71" s="96"/>
      <c r="AP71" s="96"/>
      <c r="AQ71" s="96"/>
      <c r="AR71" s="96"/>
      <c r="AS71" s="96"/>
      <c r="AT71" s="48"/>
      <c r="AU71" s="48"/>
      <c r="AV71" s="48"/>
      <c r="AW71" s="48"/>
      <c r="AX71" s="48"/>
    </row>
    <row r="72" spans="1:50">
      <c r="A72" s="48"/>
      <c r="B72" s="48"/>
      <c r="C72" s="48"/>
      <c r="D72" s="48"/>
      <c r="E72" s="48"/>
      <c r="F72" s="48"/>
      <c r="G72" s="48"/>
      <c r="H72" s="48"/>
      <c r="I72" s="48"/>
      <c r="J72" s="48"/>
      <c r="K72" s="48"/>
      <c r="L72" s="48"/>
      <c r="M72" s="48"/>
      <c r="N72" s="48"/>
      <c r="O72" s="48"/>
      <c r="P72" s="48"/>
      <c r="Q72" s="48"/>
      <c r="R72" s="48"/>
      <c r="S72" s="48"/>
      <c r="T72" s="48"/>
      <c r="U72" s="48"/>
      <c r="V72" s="48"/>
      <c r="W72" s="174"/>
      <c r="X72" s="174"/>
      <c r="Y72" s="174"/>
      <c r="Z72" s="174"/>
      <c r="AA72" s="174"/>
      <c r="AB72" s="174"/>
      <c r="AC72" s="174"/>
      <c r="AD72" s="174"/>
      <c r="AE72" s="174"/>
      <c r="AF72" s="174"/>
      <c r="AG72" s="96"/>
      <c r="AH72" s="96"/>
      <c r="AI72" s="96"/>
      <c r="AJ72" s="96"/>
      <c r="AK72" s="96"/>
      <c r="AL72" s="96"/>
      <c r="AM72" s="96"/>
      <c r="AN72" s="96"/>
      <c r="AO72" s="96"/>
      <c r="AP72" s="96"/>
      <c r="AQ72" s="96"/>
      <c r="AR72" s="96"/>
      <c r="AS72" s="96"/>
      <c r="AT72" s="48"/>
      <c r="AU72" s="48"/>
      <c r="AV72" s="48"/>
      <c r="AW72" s="48"/>
      <c r="AX72" s="48"/>
    </row>
    <row r="73" spans="1:50">
      <c r="A73" s="48"/>
      <c r="B73" s="48"/>
      <c r="C73" s="48"/>
      <c r="D73" s="48"/>
      <c r="E73" s="48"/>
      <c r="F73" s="48"/>
      <c r="G73" s="48"/>
      <c r="H73" s="48"/>
      <c r="I73" s="48"/>
      <c r="J73" s="48"/>
      <c r="K73" s="48"/>
      <c r="L73" s="48"/>
      <c r="M73" s="48"/>
      <c r="N73" s="48"/>
      <c r="O73" s="48"/>
      <c r="P73" s="48"/>
      <c r="Q73" s="48"/>
      <c r="R73" s="48"/>
      <c r="S73" s="48"/>
      <c r="T73" s="48"/>
      <c r="U73" s="48"/>
      <c r="V73" s="48"/>
      <c r="W73" s="174"/>
      <c r="X73" s="174"/>
      <c r="Y73" s="174"/>
      <c r="Z73" s="174"/>
      <c r="AA73" s="174"/>
      <c r="AB73" s="174"/>
      <c r="AC73" s="174"/>
      <c r="AD73" s="174"/>
      <c r="AE73" s="174"/>
      <c r="AF73" s="174"/>
      <c r="AG73" s="96"/>
      <c r="AH73" s="96"/>
      <c r="AI73" s="96"/>
      <c r="AJ73" s="96"/>
      <c r="AK73" s="96"/>
      <c r="AL73" s="96"/>
      <c r="AM73" s="96"/>
      <c r="AN73" s="96"/>
      <c r="AO73" s="96"/>
      <c r="AP73" s="96"/>
      <c r="AQ73" s="96"/>
      <c r="AR73" s="96"/>
      <c r="AS73" s="96"/>
      <c r="AT73" s="48"/>
      <c r="AU73" s="48"/>
      <c r="AV73" s="48"/>
      <c r="AW73" s="48"/>
      <c r="AX73" s="48"/>
    </row>
    <row r="74" spans="1:50">
      <c r="A74" s="48"/>
      <c r="B74" s="48"/>
      <c r="C74" s="48"/>
      <c r="D74" s="48"/>
      <c r="E74" s="48"/>
      <c r="F74" s="48"/>
      <c r="G74" s="48"/>
      <c r="H74" s="48"/>
      <c r="I74" s="48"/>
      <c r="J74" s="48"/>
      <c r="K74" s="48"/>
      <c r="L74" s="48"/>
      <c r="M74" s="48"/>
      <c r="N74" s="48"/>
      <c r="O74" s="48"/>
      <c r="P74" s="48"/>
      <c r="Q74" s="48"/>
      <c r="R74" s="48"/>
      <c r="S74" s="48"/>
      <c r="T74" s="48"/>
      <c r="U74" s="48"/>
      <c r="V74" s="48"/>
      <c r="W74" s="174"/>
      <c r="X74" s="174"/>
      <c r="Y74" s="174"/>
      <c r="Z74" s="174"/>
      <c r="AA74" s="174"/>
      <c r="AB74" s="174"/>
      <c r="AC74" s="174"/>
      <c r="AD74" s="174"/>
      <c r="AE74" s="174"/>
      <c r="AF74" s="174"/>
      <c r="AG74" s="96"/>
      <c r="AH74" s="96"/>
      <c r="AI74" s="96"/>
      <c r="AJ74" s="96"/>
      <c r="AK74" s="96"/>
      <c r="AL74" s="96"/>
      <c r="AM74" s="96"/>
      <c r="AN74" s="96"/>
      <c r="AO74" s="96"/>
      <c r="AP74" s="96"/>
      <c r="AQ74" s="96"/>
      <c r="AR74" s="96"/>
      <c r="AS74" s="96"/>
      <c r="AT74" s="48"/>
      <c r="AU74" s="48"/>
      <c r="AV74" s="48"/>
      <c r="AW74" s="48"/>
      <c r="AX74" s="48"/>
    </row>
    <row r="75" spans="1:50">
      <c r="A75" s="48"/>
      <c r="B75" s="48"/>
      <c r="C75" s="48"/>
      <c r="D75" s="48"/>
      <c r="E75" s="48"/>
      <c r="F75" s="48"/>
      <c r="G75" s="48"/>
      <c r="H75" s="48"/>
      <c r="I75" s="48"/>
      <c r="J75" s="48"/>
      <c r="K75" s="48"/>
      <c r="L75" s="48"/>
      <c r="M75" s="48"/>
      <c r="N75" s="48"/>
      <c r="O75" s="48"/>
      <c r="P75" s="48"/>
      <c r="Q75" s="48"/>
      <c r="R75" s="48"/>
      <c r="S75" s="48"/>
      <c r="T75" s="48"/>
      <c r="U75" s="48"/>
      <c r="V75" s="48"/>
      <c r="W75" s="174"/>
      <c r="X75" s="174"/>
      <c r="Y75" s="174"/>
      <c r="Z75" s="174"/>
      <c r="AA75" s="174"/>
      <c r="AB75" s="174"/>
      <c r="AC75" s="174"/>
      <c r="AD75" s="174"/>
      <c r="AE75" s="174"/>
      <c r="AF75" s="174"/>
      <c r="AG75" s="96"/>
      <c r="AH75" s="96"/>
      <c r="AI75" s="96"/>
      <c r="AJ75" s="96"/>
      <c r="AK75" s="96"/>
      <c r="AL75" s="96"/>
      <c r="AM75" s="96"/>
      <c r="AN75" s="96"/>
      <c r="AO75" s="96"/>
      <c r="AP75" s="96"/>
      <c r="AQ75" s="96"/>
      <c r="AR75" s="96"/>
      <c r="AS75" s="96"/>
      <c r="AT75" s="48"/>
      <c r="AU75" s="48"/>
      <c r="AV75" s="48"/>
      <c r="AW75" s="48"/>
      <c r="AX75" s="48"/>
    </row>
    <row r="76" spans="1:50">
      <c r="A76" s="48"/>
      <c r="B76" s="48"/>
      <c r="C76" s="48"/>
      <c r="D76" s="48"/>
      <c r="E76" s="48"/>
      <c r="F76" s="48"/>
      <c r="G76" s="48"/>
      <c r="H76" s="48"/>
      <c r="I76" s="48"/>
      <c r="J76" s="48"/>
      <c r="K76" s="48"/>
      <c r="L76" s="48"/>
      <c r="M76" s="48"/>
      <c r="N76" s="48"/>
      <c r="O76" s="48"/>
      <c r="P76" s="48"/>
      <c r="Q76" s="48"/>
      <c r="R76" s="48"/>
      <c r="S76" s="48"/>
      <c r="T76" s="48"/>
      <c r="U76" s="48"/>
      <c r="V76" s="48"/>
      <c r="W76" s="174"/>
      <c r="X76" s="174"/>
      <c r="Y76" s="174"/>
      <c r="Z76" s="174"/>
      <c r="AA76" s="174"/>
      <c r="AB76" s="174"/>
      <c r="AC76" s="174"/>
      <c r="AD76" s="174"/>
      <c r="AE76" s="174"/>
      <c r="AF76" s="174"/>
      <c r="AG76" s="96"/>
      <c r="AH76" s="96"/>
      <c r="AI76" s="96"/>
      <c r="AJ76" s="96"/>
      <c r="AK76" s="96"/>
      <c r="AL76" s="96"/>
      <c r="AM76" s="96"/>
      <c r="AN76" s="96"/>
      <c r="AO76" s="96"/>
      <c r="AP76" s="96"/>
      <c r="AQ76" s="96"/>
      <c r="AR76" s="96"/>
      <c r="AS76" s="96"/>
      <c r="AT76" s="48"/>
      <c r="AU76" s="48"/>
      <c r="AV76" s="48"/>
      <c r="AW76" s="48"/>
      <c r="AX76" s="48"/>
    </row>
    <row r="77" spans="1:50">
      <c r="A77" s="48"/>
      <c r="B77" s="48"/>
      <c r="C77" s="48"/>
      <c r="D77" s="48"/>
      <c r="E77" s="48"/>
      <c r="F77" s="48"/>
      <c r="G77" s="48"/>
      <c r="H77" s="48"/>
      <c r="I77" s="48"/>
      <c r="J77" s="48"/>
      <c r="K77" s="48"/>
      <c r="L77" s="48"/>
      <c r="M77" s="48"/>
      <c r="N77" s="48"/>
      <c r="O77" s="48"/>
      <c r="P77" s="48"/>
      <c r="Q77" s="48"/>
      <c r="R77" s="48"/>
      <c r="S77" s="48"/>
      <c r="T77" s="48"/>
      <c r="U77" s="48"/>
      <c r="V77" s="48"/>
      <c r="W77" s="174"/>
      <c r="X77" s="174"/>
      <c r="Y77" s="174"/>
      <c r="Z77" s="174"/>
      <c r="AA77" s="174"/>
      <c r="AB77" s="174"/>
      <c r="AC77" s="174"/>
      <c r="AD77" s="174"/>
      <c r="AE77" s="174"/>
      <c r="AF77" s="174"/>
      <c r="AG77" s="96"/>
      <c r="AH77" s="96"/>
      <c r="AI77" s="96"/>
      <c r="AJ77" s="96"/>
      <c r="AK77" s="96"/>
      <c r="AL77" s="96"/>
      <c r="AM77" s="96"/>
      <c r="AN77" s="96"/>
      <c r="AO77" s="96"/>
      <c r="AP77" s="96"/>
      <c r="AQ77" s="96"/>
      <c r="AR77" s="96"/>
      <c r="AS77" s="96"/>
      <c r="AT77" s="48"/>
      <c r="AU77" s="48"/>
      <c r="AV77" s="48"/>
      <c r="AW77" s="48"/>
      <c r="AX77" s="48"/>
    </row>
    <row r="78" spans="1:50">
      <c r="A78" s="48"/>
      <c r="B78" s="48"/>
      <c r="C78" s="48"/>
      <c r="D78" s="48"/>
      <c r="E78" s="48"/>
      <c r="F78" s="48"/>
      <c r="G78" s="48"/>
      <c r="H78" s="48"/>
      <c r="I78" s="48"/>
      <c r="J78" s="48"/>
      <c r="K78" s="48"/>
      <c r="L78" s="48"/>
      <c r="M78" s="48"/>
      <c r="N78" s="48"/>
      <c r="O78" s="48"/>
      <c r="P78" s="48"/>
      <c r="Q78" s="48"/>
      <c r="R78" s="48"/>
      <c r="S78" s="48"/>
      <c r="T78" s="48"/>
      <c r="U78" s="48"/>
      <c r="V78" s="48"/>
      <c r="W78" s="174"/>
      <c r="X78" s="174"/>
      <c r="Y78" s="174"/>
      <c r="Z78" s="174"/>
      <c r="AA78" s="174"/>
      <c r="AB78" s="174"/>
      <c r="AC78" s="174"/>
      <c r="AD78" s="174"/>
      <c r="AE78" s="174"/>
      <c r="AF78" s="174"/>
      <c r="AG78" s="96"/>
      <c r="AH78" s="96"/>
      <c r="AI78" s="96"/>
      <c r="AJ78" s="96"/>
      <c r="AK78" s="96"/>
      <c r="AL78" s="96"/>
      <c r="AM78" s="96"/>
      <c r="AN78" s="96"/>
      <c r="AO78" s="96"/>
      <c r="AP78" s="96"/>
      <c r="AQ78" s="96"/>
      <c r="AR78" s="96"/>
      <c r="AS78" s="96"/>
      <c r="AT78" s="48"/>
      <c r="AU78" s="48"/>
      <c r="AV78" s="48"/>
      <c r="AW78" s="48"/>
      <c r="AX78" s="48"/>
    </row>
    <row r="79" spans="1:50">
      <c r="A79" s="48"/>
      <c r="B79" s="48"/>
      <c r="C79" s="48"/>
      <c r="D79" s="48"/>
      <c r="E79" s="48"/>
      <c r="F79" s="48"/>
      <c r="G79" s="48"/>
      <c r="H79" s="48"/>
      <c r="I79" s="48"/>
      <c r="J79" s="48"/>
      <c r="K79" s="48"/>
      <c r="L79" s="48"/>
      <c r="M79" s="48"/>
      <c r="N79" s="48"/>
      <c r="O79" s="48"/>
      <c r="P79" s="48"/>
      <c r="Q79" s="48"/>
      <c r="R79" s="48"/>
      <c r="S79" s="48"/>
      <c r="T79" s="48"/>
      <c r="U79" s="48"/>
      <c r="V79" s="48"/>
      <c r="W79" s="174"/>
      <c r="X79" s="174"/>
      <c r="Y79" s="174"/>
      <c r="Z79" s="174"/>
      <c r="AA79" s="174"/>
      <c r="AB79" s="174"/>
      <c r="AC79" s="174"/>
      <c r="AD79" s="174"/>
      <c r="AE79" s="174"/>
      <c r="AF79" s="174"/>
      <c r="AG79" s="96"/>
      <c r="AH79" s="96"/>
      <c r="AI79" s="96"/>
      <c r="AJ79" s="96"/>
      <c r="AK79" s="96"/>
      <c r="AL79" s="96"/>
      <c r="AM79" s="96"/>
      <c r="AN79" s="96"/>
      <c r="AO79" s="96"/>
      <c r="AP79" s="96"/>
      <c r="AQ79" s="96"/>
      <c r="AR79" s="96"/>
      <c r="AS79" s="96"/>
      <c r="AT79" s="48"/>
      <c r="AU79" s="48"/>
      <c r="AV79" s="48"/>
      <c r="AW79" s="48"/>
      <c r="AX79" s="48"/>
    </row>
    <row r="80" spans="1:50">
      <c r="A80" s="48"/>
      <c r="B80" s="48"/>
      <c r="C80" s="48"/>
      <c r="D80" s="48"/>
      <c r="E80" s="48"/>
      <c r="F80" s="48"/>
      <c r="G80" s="48"/>
      <c r="H80" s="48"/>
      <c r="I80" s="48"/>
      <c r="J80" s="48"/>
      <c r="K80" s="48"/>
      <c r="L80" s="48"/>
      <c r="M80" s="48"/>
      <c r="N80" s="48"/>
      <c r="O80" s="48"/>
      <c r="P80" s="48"/>
      <c r="Q80" s="48"/>
      <c r="R80" s="48"/>
      <c r="S80" s="48"/>
      <c r="T80" s="48"/>
      <c r="U80" s="48"/>
      <c r="V80" s="48"/>
      <c r="W80" s="174"/>
      <c r="X80" s="174"/>
      <c r="Y80" s="174"/>
      <c r="Z80" s="174"/>
      <c r="AA80" s="174"/>
      <c r="AB80" s="174"/>
      <c r="AC80" s="174"/>
      <c r="AD80" s="174"/>
      <c r="AE80" s="174"/>
      <c r="AF80" s="174"/>
      <c r="AG80" s="96"/>
      <c r="AH80" s="96"/>
      <c r="AI80" s="96"/>
      <c r="AJ80" s="96"/>
      <c r="AK80" s="96"/>
      <c r="AL80" s="96"/>
      <c r="AM80" s="96"/>
      <c r="AN80" s="96"/>
      <c r="AO80" s="96"/>
      <c r="AP80" s="96"/>
      <c r="AQ80" s="96"/>
      <c r="AR80" s="96"/>
      <c r="AS80" s="96"/>
      <c r="AT80" s="48"/>
      <c r="AU80" s="48"/>
      <c r="AV80" s="48"/>
      <c r="AW80" s="48"/>
      <c r="AX80" s="48"/>
    </row>
    <row r="81" spans="1:50">
      <c r="A81" s="48"/>
      <c r="B81" s="48"/>
      <c r="C81" s="48"/>
      <c r="D81" s="48"/>
      <c r="E81" s="48"/>
      <c r="F81" s="48"/>
      <c r="G81" s="48"/>
      <c r="H81" s="48"/>
      <c r="I81" s="48"/>
      <c r="J81" s="48"/>
      <c r="K81" s="48"/>
      <c r="L81" s="48"/>
      <c r="M81" s="48"/>
      <c r="N81" s="48"/>
      <c r="O81" s="48"/>
      <c r="P81" s="48"/>
      <c r="Q81" s="48"/>
      <c r="R81" s="48"/>
      <c r="S81" s="48"/>
      <c r="T81" s="48"/>
      <c r="U81" s="48"/>
      <c r="V81" s="48"/>
      <c r="W81" s="174"/>
      <c r="X81" s="174"/>
      <c r="Y81" s="174"/>
      <c r="Z81" s="174"/>
      <c r="AA81" s="174"/>
      <c r="AB81" s="174"/>
      <c r="AC81" s="174"/>
      <c r="AD81" s="174"/>
      <c r="AE81" s="174"/>
      <c r="AF81" s="174"/>
      <c r="AG81" s="96"/>
      <c r="AH81" s="96"/>
      <c r="AI81" s="96"/>
      <c r="AJ81" s="96"/>
      <c r="AK81" s="96"/>
      <c r="AL81" s="96"/>
      <c r="AM81" s="96"/>
      <c r="AN81" s="96"/>
      <c r="AO81" s="96"/>
      <c r="AP81" s="96"/>
      <c r="AQ81" s="96"/>
      <c r="AR81" s="96"/>
      <c r="AS81" s="96"/>
      <c r="AT81" s="48"/>
      <c r="AU81" s="48"/>
      <c r="AV81" s="48"/>
      <c r="AW81" s="48"/>
      <c r="AX81" s="48"/>
    </row>
    <row r="82" spans="1:50">
      <c r="A82" s="48"/>
      <c r="B82" s="48"/>
      <c r="C82" s="48"/>
      <c r="D82" s="48"/>
      <c r="E82" s="48"/>
      <c r="F82" s="48"/>
      <c r="G82" s="48"/>
      <c r="H82" s="48"/>
      <c r="I82" s="48"/>
      <c r="J82" s="48"/>
      <c r="K82" s="48"/>
      <c r="L82" s="48"/>
      <c r="M82" s="48"/>
      <c r="N82" s="48"/>
      <c r="O82" s="48"/>
      <c r="P82" s="48"/>
      <c r="Q82" s="48"/>
      <c r="R82" s="48"/>
      <c r="S82" s="48"/>
      <c r="T82" s="48"/>
      <c r="U82" s="48"/>
      <c r="V82" s="48"/>
      <c r="W82" s="174"/>
      <c r="X82" s="174"/>
      <c r="Y82" s="174"/>
      <c r="Z82" s="174"/>
      <c r="AA82" s="174"/>
      <c r="AB82" s="174"/>
      <c r="AC82" s="174"/>
      <c r="AD82" s="174"/>
      <c r="AE82" s="174"/>
      <c r="AF82" s="174"/>
      <c r="AG82" s="96"/>
      <c r="AH82" s="96"/>
      <c r="AI82" s="96"/>
      <c r="AJ82" s="96"/>
      <c r="AK82" s="96"/>
      <c r="AL82" s="96"/>
      <c r="AM82" s="96"/>
      <c r="AN82" s="96"/>
      <c r="AO82" s="96"/>
      <c r="AP82" s="96"/>
      <c r="AQ82" s="96"/>
      <c r="AR82" s="96"/>
      <c r="AS82" s="96"/>
      <c r="AT82" s="48"/>
      <c r="AU82" s="48"/>
      <c r="AV82" s="48"/>
      <c r="AW82" s="48"/>
      <c r="AX82" s="48"/>
    </row>
    <row r="83" spans="1:50">
      <c r="A83" s="48"/>
      <c r="B83" s="48"/>
      <c r="C83" s="48"/>
      <c r="D83" s="48"/>
      <c r="E83" s="48"/>
      <c r="F83" s="48"/>
      <c r="G83" s="48"/>
      <c r="H83" s="48"/>
      <c r="I83" s="48"/>
      <c r="J83" s="48"/>
      <c r="K83" s="48"/>
      <c r="L83" s="48"/>
      <c r="M83" s="48"/>
      <c r="N83" s="48"/>
      <c r="O83" s="48"/>
      <c r="P83" s="48"/>
      <c r="Q83" s="48"/>
      <c r="R83" s="48"/>
      <c r="S83" s="48"/>
      <c r="T83" s="48"/>
      <c r="U83" s="48"/>
      <c r="V83" s="48"/>
      <c r="W83" s="174"/>
      <c r="X83" s="174"/>
      <c r="Y83" s="174"/>
      <c r="Z83" s="174"/>
      <c r="AA83" s="174"/>
      <c r="AB83" s="174"/>
      <c r="AC83" s="174"/>
      <c r="AD83" s="174"/>
      <c r="AE83" s="174"/>
      <c r="AF83" s="174"/>
      <c r="AG83" s="96"/>
      <c r="AH83" s="96"/>
      <c r="AI83" s="96"/>
      <c r="AJ83" s="96"/>
      <c r="AK83" s="96"/>
      <c r="AL83" s="96"/>
      <c r="AM83" s="96"/>
      <c r="AN83" s="96"/>
      <c r="AO83" s="96"/>
      <c r="AP83" s="96"/>
      <c r="AQ83" s="96"/>
      <c r="AR83" s="96"/>
      <c r="AS83" s="96"/>
      <c r="AT83" s="48"/>
      <c r="AU83" s="48"/>
      <c r="AV83" s="48"/>
      <c r="AW83" s="48"/>
      <c r="AX83" s="48"/>
    </row>
    <row r="84" spans="1:50">
      <c r="A84" s="48"/>
      <c r="B84" s="48"/>
      <c r="C84" s="48"/>
      <c r="D84" s="48"/>
      <c r="E84" s="48"/>
      <c r="F84" s="48"/>
      <c r="G84" s="48"/>
      <c r="H84" s="48"/>
      <c r="I84" s="48"/>
      <c r="J84" s="48"/>
      <c r="K84" s="48"/>
      <c r="L84" s="48"/>
      <c r="M84" s="48"/>
      <c r="N84" s="48"/>
      <c r="O84" s="48"/>
      <c r="P84" s="48"/>
      <c r="Q84" s="48"/>
      <c r="R84" s="48"/>
      <c r="S84" s="48"/>
      <c r="T84" s="48"/>
      <c r="U84" s="48"/>
      <c r="V84" s="48"/>
      <c r="W84" s="174"/>
      <c r="X84" s="174"/>
      <c r="Y84" s="174"/>
      <c r="Z84" s="174"/>
      <c r="AA84" s="174"/>
      <c r="AB84" s="174"/>
      <c r="AC84" s="174"/>
      <c r="AD84" s="174"/>
      <c r="AE84" s="174"/>
      <c r="AF84" s="174"/>
      <c r="AG84" s="96"/>
      <c r="AH84" s="96"/>
      <c r="AI84" s="96"/>
      <c r="AJ84" s="96"/>
      <c r="AK84" s="96"/>
      <c r="AL84" s="96"/>
      <c r="AM84" s="96"/>
      <c r="AN84" s="96"/>
      <c r="AO84" s="96"/>
      <c r="AP84" s="96"/>
      <c r="AQ84" s="96"/>
      <c r="AR84" s="96"/>
      <c r="AS84" s="96"/>
      <c r="AT84" s="48"/>
      <c r="AU84" s="48"/>
      <c r="AV84" s="48"/>
      <c r="AW84" s="48"/>
      <c r="AX84" s="48"/>
    </row>
    <row r="85" spans="1:50">
      <c r="A85" s="48"/>
      <c r="B85" s="48"/>
      <c r="C85" s="48"/>
      <c r="D85" s="48"/>
      <c r="E85" s="48"/>
      <c r="F85" s="48"/>
      <c r="G85" s="48"/>
      <c r="H85" s="48"/>
      <c r="I85" s="48"/>
      <c r="J85" s="48"/>
      <c r="K85" s="48"/>
      <c r="L85" s="48"/>
      <c r="M85" s="48"/>
      <c r="N85" s="48"/>
      <c r="O85" s="48"/>
      <c r="P85" s="48"/>
      <c r="Q85" s="48"/>
      <c r="R85" s="48"/>
      <c r="S85" s="48"/>
      <c r="T85" s="48"/>
      <c r="U85" s="48"/>
      <c r="V85" s="48"/>
      <c r="W85" s="174"/>
      <c r="X85" s="174"/>
      <c r="Y85" s="174"/>
      <c r="Z85" s="174"/>
      <c r="AA85" s="174"/>
      <c r="AB85" s="174"/>
      <c r="AC85" s="174"/>
      <c r="AD85" s="174"/>
      <c r="AE85" s="174"/>
      <c r="AF85" s="174"/>
      <c r="AG85" s="96"/>
      <c r="AH85" s="96"/>
      <c r="AI85" s="96"/>
      <c r="AJ85" s="96"/>
      <c r="AK85" s="96"/>
      <c r="AL85" s="96"/>
      <c r="AM85" s="96"/>
      <c r="AN85" s="96"/>
      <c r="AO85" s="96"/>
      <c r="AP85" s="96"/>
      <c r="AQ85" s="96"/>
      <c r="AR85" s="96"/>
      <c r="AS85" s="96"/>
      <c r="AT85" s="48"/>
      <c r="AU85" s="48"/>
      <c r="AV85" s="48"/>
      <c r="AW85" s="48"/>
      <c r="AX85" s="48"/>
    </row>
    <row r="86" spans="1:50">
      <c r="A86" s="48"/>
      <c r="B86" s="48"/>
      <c r="C86" s="48"/>
      <c r="D86" s="48"/>
      <c r="E86" s="48"/>
      <c r="F86" s="48"/>
      <c r="G86" s="48"/>
      <c r="H86" s="48"/>
      <c r="I86" s="48"/>
      <c r="J86" s="48"/>
      <c r="K86" s="48"/>
      <c r="L86" s="48"/>
      <c r="M86" s="48"/>
      <c r="N86" s="48"/>
      <c r="O86" s="48"/>
      <c r="P86" s="48"/>
      <c r="Q86" s="48"/>
      <c r="R86" s="48"/>
      <c r="S86" s="48"/>
      <c r="T86" s="48"/>
      <c r="U86" s="48"/>
      <c r="V86" s="48"/>
      <c r="W86" s="174"/>
      <c r="X86" s="174"/>
      <c r="Y86" s="174"/>
      <c r="Z86" s="174"/>
      <c r="AA86" s="174"/>
      <c r="AB86" s="174"/>
      <c r="AC86" s="174"/>
      <c r="AD86" s="174"/>
      <c r="AE86" s="174"/>
      <c r="AF86" s="174"/>
      <c r="AG86" s="96"/>
      <c r="AH86" s="96"/>
      <c r="AI86" s="96"/>
      <c r="AJ86" s="96"/>
      <c r="AK86" s="96"/>
      <c r="AL86" s="96"/>
      <c r="AM86" s="96"/>
      <c r="AN86" s="96"/>
      <c r="AO86" s="96"/>
      <c r="AP86" s="96"/>
      <c r="AQ86" s="96"/>
      <c r="AR86" s="96"/>
      <c r="AS86" s="96"/>
      <c r="AT86" s="48"/>
      <c r="AU86" s="48"/>
      <c r="AV86" s="48"/>
      <c r="AW86" s="48"/>
      <c r="AX86" s="48"/>
    </row>
    <row r="87" spans="1:50">
      <c r="A87" s="48"/>
      <c r="B87" s="48"/>
      <c r="C87" s="48"/>
      <c r="D87" s="48"/>
      <c r="E87" s="48"/>
      <c r="F87" s="48"/>
      <c r="G87" s="48"/>
      <c r="H87" s="48"/>
      <c r="I87" s="48"/>
      <c r="J87" s="48"/>
      <c r="K87" s="48"/>
      <c r="L87" s="48"/>
      <c r="M87" s="48"/>
      <c r="N87" s="48"/>
      <c r="O87" s="48"/>
      <c r="P87" s="48"/>
      <c r="Q87" s="48"/>
      <c r="R87" s="48"/>
      <c r="S87" s="48"/>
      <c r="T87" s="48"/>
      <c r="U87" s="48"/>
      <c r="V87" s="48"/>
      <c r="W87" s="174"/>
      <c r="X87" s="174"/>
      <c r="Y87" s="174"/>
      <c r="Z87" s="174"/>
      <c r="AA87" s="174"/>
      <c r="AB87" s="174"/>
      <c r="AC87" s="174"/>
      <c r="AD87" s="174"/>
      <c r="AE87" s="174"/>
      <c r="AF87" s="174"/>
      <c r="AG87" s="96"/>
      <c r="AH87" s="96"/>
      <c r="AI87" s="96"/>
      <c r="AJ87" s="96"/>
      <c r="AK87" s="96"/>
      <c r="AL87" s="96"/>
      <c r="AM87" s="96"/>
      <c r="AN87" s="96"/>
      <c r="AO87" s="96"/>
      <c r="AP87" s="96"/>
      <c r="AQ87" s="96"/>
      <c r="AR87" s="96"/>
      <c r="AS87" s="96"/>
      <c r="AT87" s="48"/>
      <c r="AU87" s="48"/>
      <c r="AV87" s="48"/>
      <c r="AW87" s="48"/>
      <c r="AX87" s="48"/>
    </row>
    <row r="88" spans="1:50">
      <c r="A88" s="48"/>
      <c r="B88" s="48"/>
      <c r="C88" s="48"/>
      <c r="D88" s="48"/>
      <c r="E88" s="48"/>
      <c r="F88" s="48"/>
      <c r="G88" s="48"/>
      <c r="H88" s="48"/>
      <c r="I88" s="48"/>
      <c r="J88" s="48"/>
      <c r="K88" s="48"/>
      <c r="L88" s="48"/>
      <c r="M88" s="48"/>
      <c r="N88" s="48"/>
      <c r="O88" s="48"/>
      <c r="P88" s="48"/>
      <c r="Q88" s="48"/>
      <c r="R88" s="48"/>
      <c r="S88" s="48"/>
      <c r="T88" s="48"/>
      <c r="U88" s="48"/>
      <c r="V88" s="48"/>
      <c r="W88" s="174"/>
      <c r="X88" s="174"/>
      <c r="Y88" s="174"/>
      <c r="Z88" s="174"/>
      <c r="AA88" s="174"/>
      <c r="AB88" s="174"/>
      <c r="AC88" s="174"/>
      <c r="AD88" s="174"/>
      <c r="AE88" s="174"/>
      <c r="AF88" s="174"/>
      <c r="AG88" s="96"/>
      <c r="AH88" s="96"/>
      <c r="AI88" s="96"/>
      <c r="AJ88" s="96"/>
      <c r="AK88" s="96"/>
      <c r="AL88" s="96"/>
      <c r="AM88" s="96"/>
      <c r="AN88" s="96"/>
      <c r="AO88" s="96"/>
      <c r="AP88" s="96"/>
      <c r="AQ88" s="96"/>
      <c r="AR88" s="96"/>
      <c r="AS88" s="96"/>
      <c r="AT88" s="48"/>
      <c r="AU88" s="48"/>
      <c r="AV88" s="48"/>
      <c r="AW88" s="48"/>
      <c r="AX88" s="48"/>
    </row>
    <row r="89" spans="1:50">
      <c r="A89" s="48"/>
      <c r="B89" s="48"/>
      <c r="C89" s="48"/>
      <c r="D89" s="48"/>
      <c r="E89" s="48"/>
      <c r="F89" s="48"/>
      <c r="G89" s="48"/>
      <c r="H89" s="48"/>
      <c r="I89" s="48"/>
      <c r="J89" s="48"/>
      <c r="K89" s="48"/>
      <c r="L89" s="48"/>
      <c r="M89" s="48"/>
      <c r="N89" s="48"/>
      <c r="O89" s="48"/>
      <c r="P89" s="48"/>
      <c r="Q89" s="48"/>
      <c r="R89" s="48"/>
      <c r="S89" s="48"/>
      <c r="T89" s="48"/>
      <c r="U89" s="48"/>
      <c r="V89" s="48"/>
      <c r="W89" s="174"/>
      <c r="X89" s="174"/>
      <c r="Y89" s="174"/>
      <c r="Z89" s="174"/>
      <c r="AA89" s="174"/>
      <c r="AB89" s="174"/>
      <c r="AC89" s="174"/>
      <c r="AD89" s="174"/>
      <c r="AE89" s="174"/>
      <c r="AF89" s="174"/>
      <c r="AG89" s="96"/>
      <c r="AH89" s="96"/>
      <c r="AI89" s="96"/>
      <c r="AJ89" s="96"/>
      <c r="AK89" s="96"/>
      <c r="AL89" s="96"/>
      <c r="AM89" s="96"/>
      <c r="AN89" s="96"/>
      <c r="AO89" s="96"/>
      <c r="AP89" s="96"/>
      <c r="AQ89" s="96"/>
      <c r="AR89" s="96"/>
      <c r="AS89" s="96"/>
      <c r="AT89" s="48"/>
      <c r="AU89" s="48"/>
      <c r="AV89" s="48"/>
      <c r="AW89" s="48"/>
      <c r="AX89" s="48"/>
    </row>
    <row r="90" spans="1:50">
      <c r="A90" s="48"/>
      <c r="B90" s="48"/>
      <c r="C90" s="48"/>
      <c r="D90" s="48"/>
      <c r="E90" s="48"/>
      <c r="F90" s="48"/>
      <c r="G90" s="48"/>
      <c r="H90" s="48"/>
      <c r="I90" s="48"/>
      <c r="J90" s="48"/>
      <c r="K90" s="48"/>
      <c r="L90" s="48"/>
      <c r="M90" s="48"/>
      <c r="N90" s="48"/>
      <c r="O90" s="48"/>
      <c r="P90" s="48"/>
      <c r="Q90" s="48"/>
      <c r="R90" s="48"/>
      <c r="S90" s="48"/>
      <c r="T90" s="48"/>
      <c r="U90" s="48"/>
      <c r="V90" s="48"/>
      <c r="W90" s="96"/>
      <c r="X90" s="96"/>
      <c r="Y90" s="96"/>
      <c r="Z90" s="96"/>
      <c r="AA90" s="96"/>
      <c r="AB90" s="96"/>
      <c r="AC90" s="96"/>
      <c r="AD90" s="96"/>
      <c r="AE90" s="96"/>
      <c r="AF90" s="96"/>
      <c r="AG90" s="96"/>
      <c r="AH90" s="96"/>
      <c r="AI90" s="96"/>
      <c r="AJ90" s="96"/>
      <c r="AK90" s="96"/>
      <c r="AL90" s="96"/>
      <c r="AM90" s="96"/>
      <c r="AN90" s="96"/>
      <c r="AO90" s="96"/>
      <c r="AP90" s="96"/>
      <c r="AQ90" s="96"/>
      <c r="AR90" s="96"/>
      <c r="AS90" s="96"/>
    </row>
    <row r="91" spans="1:50">
      <c r="A91" s="48"/>
      <c r="B91" s="48"/>
      <c r="C91" s="48"/>
      <c r="D91" s="48"/>
      <c r="E91" s="48"/>
      <c r="F91" s="48"/>
      <c r="G91" s="48"/>
      <c r="H91" s="48"/>
      <c r="I91" s="48"/>
      <c r="J91" s="48"/>
      <c r="K91" s="48"/>
      <c r="L91" s="48"/>
      <c r="M91" s="48"/>
      <c r="N91" s="48"/>
      <c r="O91" s="48"/>
      <c r="P91" s="48"/>
      <c r="Q91" s="48"/>
      <c r="R91" s="48"/>
      <c r="S91" s="48"/>
      <c r="T91" s="48"/>
      <c r="U91" s="48"/>
      <c r="V91" s="48"/>
      <c r="W91" s="96"/>
      <c r="X91" s="96"/>
      <c r="Y91" s="96"/>
      <c r="Z91" s="96"/>
      <c r="AA91" s="96"/>
      <c r="AB91" s="96"/>
      <c r="AC91" s="96"/>
      <c r="AD91" s="96"/>
      <c r="AE91" s="96"/>
      <c r="AF91" s="96"/>
      <c r="AG91" s="96"/>
      <c r="AH91" s="96"/>
      <c r="AI91" s="96"/>
      <c r="AJ91" s="96"/>
      <c r="AK91" s="96"/>
      <c r="AL91" s="96"/>
      <c r="AM91" s="96"/>
      <c r="AN91" s="96"/>
      <c r="AO91" s="96"/>
      <c r="AP91" s="96"/>
      <c r="AQ91" s="96"/>
      <c r="AR91" s="96"/>
      <c r="AS91" s="96"/>
    </row>
    <row r="92" spans="1:50">
      <c r="A92" s="48"/>
      <c r="B92" s="48"/>
      <c r="C92" s="48"/>
      <c r="D92" s="48"/>
      <c r="E92" s="48"/>
      <c r="F92" s="48"/>
      <c r="G92" s="48"/>
      <c r="H92" s="48"/>
      <c r="I92" s="48"/>
      <c r="J92" s="48"/>
      <c r="K92" s="48"/>
      <c r="L92" s="48"/>
      <c r="M92" s="48"/>
      <c r="N92" s="48"/>
      <c r="O92" s="48"/>
      <c r="P92" s="48"/>
      <c r="Q92" s="48"/>
      <c r="R92" s="48"/>
      <c r="S92" s="48"/>
      <c r="T92" s="48"/>
      <c r="U92" s="48"/>
      <c r="V92" s="48"/>
      <c r="W92" s="96"/>
      <c r="X92" s="96"/>
      <c r="Y92" s="96"/>
      <c r="Z92" s="96"/>
      <c r="AA92" s="96"/>
      <c r="AB92" s="96"/>
      <c r="AC92" s="96"/>
      <c r="AD92" s="96"/>
      <c r="AE92" s="96"/>
      <c r="AF92" s="96"/>
      <c r="AG92" s="96"/>
      <c r="AH92" s="96"/>
      <c r="AI92" s="96"/>
      <c r="AJ92" s="96"/>
      <c r="AK92" s="96"/>
      <c r="AL92" s="96"/>
      <c r="AM92" s="96"/>
      <c r="AN92" s="96"/>
      <c r="AO92" s="96"/>
      <c r="AP92" s="96"/>
      <c r="AQ92" s="96"/>
      <c r="AR92" s="96"/>
      <c r="AS92" s="96"/>
    </row>
    <row r="93" spans="1:50">
      <c r="A93" s="48"/>
      <c r="B93" s="48"/>
      <c r="C93" s="48"/>
      <c r="D93" s="48"/>
      <c r="E93" s="48"/>
      <c r="F93" s="48"/>
      <c r="G93" s="48"/>
      <c r="H93" s="48"/>
      <c r="I93" s="48"/>
      <c r="J93" s="48"/>
      <c r="K93" s="48"/>
      <c r="L93" s="48"/>
      <c r="M93" s="48"/>
      <c r="N93" s="48"/>
      <c r="O93" s="48"/>
      <c r="P93" s="48"/>
      <c r="Q93" s="48"/>
      <c r="R93" s="48"/>
      <c r="S93" s="48"/>
      <c r="T93" s="48"/>
      <c r="U93" s="48"/>
      <c r="V93" s="48"/>
      <c r="W93" s="96"/>
      <c r="X93" s="96"/>
      <c r="Y93" s="96"/>
      <c r="Z93" s="96"/>
      <c r="AA93" s="96"/>
      <c r="AB93" s="96"/>
      <c r="AC93" s="96"/>
      <c r="AD93" s="96"/>
      <c r="AE93" s="96"/>
      <c r="AF93" s="96"/>
      <c r="AG93" s="96"/>
      <c r="AH93" s="96"/>
      <c r="AI93" s="96"/>
      <c r="AJ93" s="96"/>
      <c r="AK93" s="96"/>
      <c r="AL93" s="96"/>
      <c r="AM93" s="96"/>
      <c r="AN93" s="96"/>
      <c r="AO93" s="96"/>
      <c r="AP93" s="96"/>
      <c r="AQ93" s="96"/>
      <c r="AR93" s="96"/>
      <c r="AS93" s="96"/>
    </row>
    <row r="94" spans="1:50">
      <c r="A94" s="48"/>
      <c r="B94" s="48"/>
      <c r="C94" s="48"/>
      <c r="D94" s="48"/>
      <c r="E94" s="48"/>
      <c r="F94" s="48"/>
      <c r="G94" s="48"/>
      <c r="H94" s="48"/>
      <c r="I94" s="48"/>
      <c r="J94" s="48"/>
      <c r="K94" s="48"/>
      <c r="L94" s="48"/>
      <c r="M94" s="48"/>
      <c r="N94" s="48"/>
      <c r="O94" s="48"/>
      <c r="P94" s="48"/>
      <c r="Q94" s="48"/>
      <c r="R94" s="48"/>
      <c r="S94" s="48"/>
      <c r="T94" s="48"/>
      <c r="U94" s="48"/>
      <c r="V94" s="48"/>
      <c r="W94" s="96"/>
      <c r="X94" s="96"/>
      <c r="Y94" s="96"/>
      <c r="Z94" s="96"/>
      <c r="AA94" s="96"/>
      <c r="AB94" s="96"/>
      <c r="AC94" s="96"/>
      <c r="AD94" s="96"/>
      <c r="AE94" s="96"/>
      <c r="AF94" s="96"/>
      <c r="AG94" s="96"/>
      <c r="AH94" s="96"/>
      <c r="AI94" s="96"/>
      <c r="AJ94" s="96"/>
      <c r="AK94" s="96"/>
      <c r="AL94" s="96"/>
      <c r="AM94" s="96"/>
      <c r="AN94" s="96"/>
      <c r="AO94" s="96"/>
      <c r="AP94" s="96"/>
      <c r="AQ94" s="96"/>
      <c r="AR94" s="96"/>
      <c r="AS94" s="96"/>
    </row>
    <row r="95" spans="1:50">
      <c r="A95" s="48"/>
      <c r="B95" s="48"/>
      <c r="C95" s="48"/>
      <c r="D95" s="48"/>
      <c r="E95" s="48"/>
      <c r="F95" s="48"/>
      <c r="G95" s="48"/>
      <c r="H95" s="48"/>
      <c r="I95" s="48"/>
      <c r="J95" s="48"/>
      <c r="K95" s="48"/>
      <c r="L95" s="48"/>
      <c r="M95" s="48"/>
      <c r="N95" s="48"/>
      <c r="O95" s="48"/>
      <c r="P95" s="48"/>
      <c r="Q95" s="48"/>
      <c r="R95" s="48"/>
      <c r="S95" s="48"/>
      <c r="T95" s="48"/>
      <c r="U95" s="48"/>
      <c r="V95" s="48"/>
      <c r="W95" s="96"/>
      <c r="X95" s="96"/>
      <c r="Y95" s="96"/>
      <c r="Z95" s="96"/>
      <c r="AA95" s="96"/>
      <c r="AB95" s="96"/>
      <c r="AC95" s="96"/>
      <c r="AD95" s="96"/>
      <c r="AE95" s="96"/>
      <c r="AF95" s="96"/>
      <c r="AG95" s="96"/>
      <c r="AH95" s="96"/>
      <c r="AI95" s="96"/>
      <c r="AJ95" s="96"/>
      <c r="AK95" s="96"/>
      <c r="AL95" s="96"/>
      <c r="AM95" s="96"/>
      <c r="AN95" s="96"/>
      <c r="AO95" s="96"/>
      <c r="AP95" s="96"/>
      <c r="AQ95" s="96"/>
      <c r="AR95" s="96"/>
      <c r="AS95" s="96"/>
    </row>
    <row r="96" spans="1:50">
      <c r="A96" s="48"/>
      <c r="B96" s="48"/>
      <c r="C96" s="48"/>
      <c r="D96" s="48"/>
      <c r="E96" s="48"/>
      <c r="F96" s="48"/>
      <c r="G96" s="48"/>
      <c r="H96" s="48"/>
      <c r="I96" s="48"/>
      <c r="J96" s="48"/>
      <c r="K96" s="48"/>
      <c r="L96" s="48"/>
      <c r="M96" s="48"/>
      <c r="N96" s="48"/>
      <c r="O96" s="48"/>
      <c r="P96" s="48"/>
      <c r="Q96" s="48"/>
      <c r="R96" s="48"/>
      <c r="S96" s="48"/>
      <c r="T96" s="48"/>
      <c r="U96" s="48"/>
      <c r="V96" s="48"/>
      <c r="W96" s="96"/>
      <c r="X96" s="96"/>
      <c r="Y96" s="96"/>
      <c r="Z96" s="96"/>
      <c r="AA96" s="96"/>
      <c r="AB96" s="96"/>
      <c r="AC96" s="96"/>
      <c r="AD96" s="96"/>
      <c r="AE96" s="96"/>
      <c r="AF96" s="96"/>
      <c r="AG96" s="96"/>
      <c r="AH96" s="96"/>
      <c r="AI96" s="96"/>
      <c r="AJ96" s="96"/>
      <c r="AK96" s="96"/>
      <c r="AL96" s="96"/>
      <c r="AM96" s="96"/>
      <c r="AN96" s="96"/>
      <c r="AO96" s="96"/>
      <c r="AP96" s="96"/>
      <c r="AQ96" s="96"/>
      <c r="AR96" s="96"/>
      <c r="AS96" s="96"/>
    </row>
    <row r="97" spans="1:45">
      <c r="A97" s="48"/>
      <c r="B97" s="48"/>
      <c r="C97" s="48"/>
      <c r="D97" s="48"/>
      <c r="E97" s="48"/>
      <c r="F97" s="48"/>
      <c r="G97" s="48"/>
      <c r="H97" s="48"/>
      <c r="I97" s="48"/>
      <c r="J97" s="48"/>
      <c r="K97" s="48"/>
      <c r="L97" s="48"/>
      <c r="M97" s="48"/>
      <c r="N97" s="48"/>
      <c r="O97" s="48"/>
      <c r="P97" s="48"/>
      <c r="Q97" s="48"/>
      <c r="R97" s="48"/>
      <c r="S97" s="48"/>
      <c r="T97" s="48"/>
      <c r="U97" s="48"/>
      <c r="V97" s="48"/>
      <c r="W97" s="96"/>
      <c r="X97" s="96"/>
      <c r="Y97" s="96"/>
      <c r="Z97" s="96"/>
      <c r="AA97" s="96"/>
      <c r="AB97" s="96"/>
      <c r="AC97" s="96"/>
      <c r="AD97" s="96"/>
      <c r="AE97" s="96"/>
      <c r="AF97" s="96"/>
      <c r="AG97" s="96"/>
      <c r="AH97" s="96"/>
      <c r="AI97" s="96"/>
      <c r="AJ97" s="96"/>
      <c r="AK97" s="96"/>
      <c r="AL97" s="96"/>
      <c r="AM97" s="96"/>
      <c r="AN97" s="96"/>
      <c r="AO97" s="96"/>
      <c r="AP97" s="96"/>
      <c r="AQ97" s="96"/>
      <c r="AR97" s="96"/>
      <c r="AS97" s="96"/>
    </row>
    <row r="98" spans="1:45">
      <c r="A98" s="48"/>
      <c r="B98" s="48"/>
      <c r="C98" s="48"/>
      <c r="D98" s="48"/>
      <c r="E98" s="48"/>
      <c r="F98" s="48"/>
      <c r="G98" s="48"/>
      <c r="H98" s="48"/>
      <c r="I98" s="48"/>
      <c r="J98" s="48"/>
      <c r="K98" s="48"/>
      <c r="L98" s="48"/>
      <c r="M98" s="48"/>
      <c r="N98" s="48"/>
      <c r="O98" s="48"/>
      <c r="P98" s="48"/>
      <c r="Q98" s="48"/>
      <c r="R98" s="48"/>
      <c r="S98" s="48"/>
      <c r="T98" s="48"/>
      <c r="U98" s="48"/>
      <c r="V98" s="48"/>
      <c r="W98" s="96"/>
      <c r="X98" s="96"/>
      <c r="Y98" s="96"/>
      <c r="Z98" s="96"/>
      <c r="AA98" s="96"/>
      <c r="AB98" s="96"/>
      <c r="AC98" s="96"/>
      <c r="AD98" s="96"/>
      <c r="AE98" s="96"/>
      <c r="AF98" s="96"/>
      <c r="AG98" s="96"/>
      <c r="AH98" s="96"/>
      <c r="AI98" s="96"/>
      <c r="AJ98" s="96"/>
      <c r="AK98" s="96"/>
      <c r="AL98" s="96"/>
      <c r="AM98" s="96"/>
      <c r="AN98" s="96"/>
      <c r="AO98" s="96"/>
      <c r="AP98" s="96"/>
      <c r="AQ98" s="96"/>
      <c r="AR98" s="96"/>
      <c r="AS98" s="96"/>
    </row>
    <row r="99" spans="1:45">
      <c r="A99" s="48"/>
      <c r="B99" s="48"/>
      <c r="C99" s="48"/>
      <c r="D99" s="48"/>
      <c r="E99" s="48"/>
      <c r="F99" s="48"/>
      <c r="G99" s="48"/>
      <c r="H99" s="48"/>
      <c r="I99" s="48"/>
      <c r="J99" s="48"/>
      <c r="K99" s="48"/>
      <c r="L99" s="48"/>
      <c r="M99" s="48"/>
      <c r="N99" s="48"/>
      <c r="O99" s="48"/>
      <c r="P99" s="48"/>
      <c r="Q99" s="48"/>
      <c r="R99" s="48"/>
      <c r="S99" s="48"/>
      <c r="T99" s="48"/>
      <c r="U99" s="48"/>
      <c r="V99" s="48"/>
      <c r="W99" s="96"/>
      <c r="X99" s="96"/>
      <c r="Y99" s="96"/>
      <c r="Z99" s="96"/>
      <c r="AA99" s="96"/>
      <c r="AB99" s="96"/>
      <c r="AC99" s="96"/>
      <c r="AD99" s="96"/>
      <c r="AE99" s="96"/>
      <c r="AF99" s="96"/>
      <c r="AG99" s="96"/>
      <c r="AH99" s="96"/>
      <c r="AI99" s="96"/>
      <c r="AJ99" s="96"/>
      <c r="AK99" s="96"/>
      <c r="AL99" s="96"/>
      <c r="AM99" s="96"/>
      <c r="AN99" s="96"/>
      <c r="AO99" s="96"/>
      <c r="AP99" s="96"/>
      <c r="AQ99" s="96"/>
      <c r="AR99" s="96"/>
      <c r="AS99" s="96"/>
    </row>
    <row r="100" spans="1:45">
      <c r="A100" s="48"/>
      <c r="B100" s="48"/>
      <c r="C100" s="48"/>
      <c r="D100" s="48"/>
      <c r="E100" s="48"/>
      <c r="F100" s="48"/>
      <c r="G100" s="48"/>
      <c r="H100" s="48"/>
      <c r="I100" s="48"/>
      <c r="J100" s="48"/>
      <c r="K100" s="48"/>
      <c r="L100" s="48"/>
      <c r="M100" s="48"/>
      <c r="N100" s="48"/>
      <c r="O100" s="48"/>
      <c r="P100" s="48"/>
      <c r="Q100" s="48"/>
      <c r="R100" s="48"/>
      <c r="S100" s="48"/>
      <c r="T100" s="48"/>
      <c r="U100" s="48"/>
      <c r="V100" s="48"/>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row>
    <row r="101" spans="1:45">
      <c r="A101" s="48"/>
      <c r="B101" s="48"/>
      <c r="C101" s="48"/>
      <c r="D101" s="48"/>
      <c r="E101" s="48"/>
      <c r="F101" s="48"/>
      <c r="G101" s="48"/>
      <c r="H101" s="48"/>
      <c r="I101" s="48"/>
      <c r="J101" s="48"/>
      <c r="K101" s="48"/>
      <c r="L101" s="48"/>
      <c r="M101" s="48"/>
      <c r="N101" s="48"/>
      <c r="O101" s="48"/>
      <c r="P101" s="48"/>
      <c r="Q101" s="48"/>
      <c r="R101" s="48"/>
      <c r="S101" s="48"/>
      <c r="T101" s="48"/>
      <c r="U101" s="48"/>
      <c r="V101" s="48"/>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row>
    <row r="102" spans="1:45">
      <c r="A102" s="48"/>
      <c r="B102" s="48"/>
      <c r="C102" s="48"/>
      <c r="D102" s="48"/>
      <c r="E102" s="48"/>
      <c r="F102" s="48"/>
      <c r="G102" s="48"/>
      <c r="H102" s="48"/>
      <c r="I102" s="48"/>
      <c r="J102" s="48"/>
      <c r="K102" s="48"/>
      <c r="L102" s="48"/>
      <c r="M102" s="48"/>
      <c r="N102" s="48"/>
      <c r="O102" s="48"/>
      <c r="P102" s="48"/>
      <c r="Q102" s="48"/>
      <c r="R102" s="48"/>
      <c r="S102" s="48"/>
      <c r="T102" s="48"/>
      <c r="U102" s="48"/>
      <c r="V102" s="48"/>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row>
    <row r="103" spans="1:45">
      <c r="A103" s="48"/>
      <c r="B103" s="48"/>
      <c r="C103" s="48"/>
      <c r="D103" s="48"/>
      <c r="E103" s="48"/>
      <c r="F103" s="48"/>
      <c r="G103" s="48"/>
      <c r="H103" s="48"/>
      <c r="I103" s="48"/>
      <c r="J103" s="48"/>
      <c r="K103" s="48"/>
      <c r="L103" s="48"/>
      <c r="M103" s="48"/>
      <c r="N103" s="48"/>
      <c r="O103" s="48"/>
      <c r="P103" s="48"/>
      <c r="Q103" s="48"/>
      <c r="R103" s="48"/>
      <c r="S103" s="48"/>
      <c r="T103" s="48"/>
      <c r="U103" s="48"/>
      <c r="V103" s="48"/>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row>
    <row r="104" spans="1:45">
      <c r="A104" s="48"/>
      <c r="B104" s="48"/>
      <c r="C104" s="48"/>
      <c r="D104" s="48"/>
      <c r="E104" s="48"/>
      <c r="F104" s="48"/>
      <c r="G104" s="48"/>
      <c r="H104" s="48"/>
      <c r="I104" s="48"/>
      <c r="J104" s="48"/>
      <c r="K104" s="48"/>
      <c r="L104" s="48"/>
      <c r="M104" s="48"/>
      <c r="N104" s="48"/>
      <c r="O104" s="48"/>
      <c r="P104" s="48"/>
      <c r="Q104" s="48"/>
      <c r="R104" s="48"/>
      <c r="S104" s="48"/>
      <c r="T104" s="48"/>
      <c r="U104" s="48"/>
      <c r="V104" s="48"/>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row>
    <row r="105" spans="1:45">
      <c r="A105" s="48"/>
      <c r="B105" s="48"/>
      <c r="C105" s="48"/>
      <c r="D105" s="48"/>
      <c r="E105" s="48"/>
      <c r="F105" s="48"/>
      <c r="G105" s="48"/>
      <c r="H105" s="48"/>
      <c r="I105" s="48"/>
      <c r="J105" s="48"/>
      <c r="K105" s="48"/>
      <c r="L105" s="48"/>
      <c r="M105" s="48"/>
      <c r="N105" s="48"/>
      <c r="O105" s="48"/>
      <c r="P105" s="48"/>
      <c r="Q105" s="48"/>
      <c r="R105" s="48"/>
      <c r="S105" s="48"/>
      <c r="T105" s="48"/>
      <c r="U105" s="48"/>
      <c r="V105" s="48"/>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row>
    <row r="106" spans="1:45">
      <c r="A106" s="48"/>
      <c r="B106" s="48"/>
      <c r="C106" s="48"/>
      <c r="D106" s="48"/>
      <c r="E106" s="48"/>
      <c r="F106" s="48"/>
      <c r="G106" s="48"/>
      <c r="H106" s="48"/>
      <c r="I106" s="48"/>
      <c r="J106" s="48"/>
      <c r="K106" s="48"/>
      <c r="L106" s="48"/>
      <c r="M106" s="48"/>
      <c r="N106" s="48"/>
      <c r="O106" s="48"/>
      <c r="P106" s="48"/>
      <c r="Q106" s="48"/>
      <c r="R106" s="48"/>
      <c r="S106" s="48"/>
      <c r="T106" s="48"/>
      <c r="U106" s="48"/>
      <c r="V106" s="48"/>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row>
    <row r="107" spans="1:45">
      <c r="A107" s="48"/>
      <c r="B107" s="48"/>
      <c r="C107" s="48"/>
      <c r="D107" s="48"/>
      <c r="E107" s="48"/>
      <c r="F107" s="48"/>
      <c r="G107" s="48"/>
      <c r="H107" s="48"/>
      <c r="I107" s="48"/>
      <c r="J107" s="48"/>
      <c r="K107" s="48"/>
      <c r="L107" s="48"/>
      <c r="M107" s="48"/>
      <c r="N107" s="48"/>
      <c r="O107" s="48"/>
      <c r="P107" s="48"/>
      <c r="Q107" s="48"/>
      <c r="R107" s="48"/>
      <c r="S107" s="48"/>
      <c r="T107" s="48"/>
      <c r="U107" s="48"/>
      <c r="V107" s="48"/>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row>
    <row r="108" spans="1:45">
      <c r="A108" s="48"/>
      <c r="B108" s="48"/>
      <c r="C108" s="48"/>
      <c r="D108" s="48"/>
      <c r="E108" s="48"/>
      <c r="F108" s="48"/>
      <c r="G108" s="48"/>
      <c r="H108" s="48"/>
      <c r="I108" s="48"/>
      <c r="J108" s="48"/>
      <c r="K108" s="48"/>
      <c r="L108" s="48"/>
      <c r="M108" s="48"/>
      <c r="N108" s="48"/>
      <c r="O108" s="48"/>
      <c r="P108" s="48"/>
      <c r="Q108" s="48"/>
      <c r="R108" s="48"/>
      <c r="S108" s="48"/>
      <c r="T108" s="48"/>
      <c r="U108" s="48"/>
      <c r="V108" s="48"/>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row>
    <row r="109" spans="1:45">
      <c r="A109" s="48"/>
      <c r="B109" s="48"/>
      <c r="C109" s="48"/>
      <c r="D109" s="48"/>
      <c r="E109" s="48"/>
      <c r="F109" s="48"/>
      <c r="G109" s="48"/>
      <c r="H109" s="48"/>
      <c r="I109" s="48"/>
      <c r="J109" s="48"/>
      <c r="K109" s="48"/>
      <c r="L109" s="48"/>
      <c r="M109" s="48"/>
      <c r="N109" s="48"/>
      <c r="O109" s="48"/>
      <c r="P109" s="48"/>
      <c r="Q109" s="48"/>
      <c r="R109" s="48"/>
      <c r="S109" s="48"/>
      <c r="T109" s="48"/>
      <c r="U109" s="48"/>
      <c r="V109" s="48"/>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row>
    <row r="110" spans="1:45">
      <c r="A110" s="48"/>
      <c r="B110" s="48"/>
      <c r="C110" s="48"/>
      <c r="D110" s="48"/>
      <c r="E110" s="48"/>
      <c r="F110" s="48"/>
      <c r="G110" s="48"/>
      <c r="H110" s="48"/>
      <c r="I110" s="48"/>
      <c r="J110" s="48"/>
      <c r="K110" s="48"/>
      <c r="L110" s="48"/>
      <c r="M110" s="48"/>
      <c r="N110" s="48"/>
      <c r="O110" s="48"/>
      <c r="P110" s="48"/>
      <c r="Q110" s="48"/>
      <c r="R110" s="48"/>
      <c r="S110" s="48"/>
      <c r="T110" s="48"/>
      <c r="U110" s="48"/>
      <c r="V110" s="48"/>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row>
    <row r="111" spans="1:45">
      <c r="A111" s="48"/>
      <c r="B111" s="48"/>
      <c r="C111" s="48"/>
      <c r="D111" s="48"/>
      <c r="E111" s="48"/>
      <c r="F111" s="48"/>
      <c r="G111" s="48"/>
      <c r="H111" s="48"/>
      <c r="I111" s="48"/>
      <c r="J111" s="48"/>
      <c r="K111" s="48"/>
      <c r="L111" s="48"/>
      <c r="M111" s="48"/>
      <c r="N111" s="48"/>
      <c r="O111" s="48"/>
      <c r="P111" s="48"/>
      <c r="Q111" s="48"/>
      <c r="R111" s="48"/>
      <c r="S111" s="48"/>
      <c r="T111" s="48"/>
      <c r="U111" s="48"/>
      <c r="V111" s="48"/>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row>
    <row r="112" spans="1:45">
      <c r="A112" s="48"/>
      <c r="B112" s="48"/>
      <c r="C112" s="48"/>
      <c r="D112" s="48"/>
      <c r="E112" s="48"/>
      <c r="F112" s="48"/>
      <c r="G112" s="48"/>
      <c r="H112" s="48"/>
      <c r="I112" s="48"/>
      <c r="J112" s="48"/>
      <c r="K112" s="48"/>
      <c r="L112" s="48"/>
      <c r="M112" s="48"/>
      <c r="N112" s="48"/>
      <c r="O112" s="48"/>
      <c r="P112" s="48"/>
      <c r="Q112" s="48"/>
      <c r="R112" s="48"/>
      <c r="S112" s="48"/>
      <c r="T112" s="48"/>
      <c r="U112" s="48"/>
      <c r="V112" s="48"/>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row>
    <row r="113" spans="1:45">
      <c r="A113" s="48"/>
      <c r="B113" s="48"/>
      <c r="C113" s="48"/>
      <c r="D113" s="48"/>
      <c r="E113" s="48"/>
      <c r="F113" s="48"/>
      <c r="G113" s="48"/>
      <c r="H113" s="48"/>
      <c r="I113" s="48"/>
      <c r="J113" s="48"/>
      <c r="K113" s="48"/>
      <c r="L113" s="48"/>
      <c r="M113" s="48"/>
      <c r="N113" s="48"/>
      <c r="O113" s="48"/>
      <c r="P113" s="48"/>
      <c r="Q113" s="48"/>
      <c r="R113" s="48"/>
      <c r="S113" s="48"/>
      <c r="T113" s="48"/>
      <c r="U113" s="48"/>
      <c r="V113" s="48"/>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row>
    <row r="114" spans="1:45">
      <c r="A114" s="48"/>
      <c r="B114" s="48"/>
      <c r="C114" s="48"/>
      <c r="D114" s="48"/>
      <c r="E114" s="48"/>
      <c r="F114" s="48"/>
      <c r="G114" s="48"/>
      <c r="H114" s="48"/>
      <c r="I114" s="48"/>
      <c r="J114" s="48"/>
      <c r="K114" s="48"/>
      <c r="L114" s="48"/>
      <c r="M114" s="48"/>
      <c r="N114" s="48"/>
      <c r="O114" s="48"/>
      <c r="P114" s="48"/>
      <c r="Q114" s="48"/>
      <c r="R114" s="48"/>
      <c r="S114" s="48"/>
      <c r="T114" s="48"/>
      <c r="U114" s="48"/>
      <c r="V114" s="48"/>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row>
    <row r="115" spans="1:45">
      <c r="A115" s="48"/>
      <c r="B115" s="48"/>
      <c r="C115" s="48"/>
      <c r="D115" s="48"/>
      <c r="E115" s="48"/>
      <c r="F115" s="48"/>
      <c r="G115" s="48"/>
      <c r="H115" s="48"/>
      <c r="I115" s="48"/>
      <c r="J115" s="48"/>
      <c r="K115" s="48"/>
      <c r="L115" s="48"/>
      <c r="M115" s="48"/>
      <c r="N115" s="48"/>
      <c r="O115" s="48"/>
      <c r="P115" s="48"/>
      <c r="Q115" s="48"/>
      <c r="R115" s="48"/>
      <c r="S115" s="48"/>
      <c r="T115" s="48"/>
      <c r="U115" s="48"/>
      <c r="V115" s="48"/>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row>
    <row r="116" spans="1:45">
      <c r="A116" s="48"/>
      <c r="B116" s="48"/>
      <c r="C116" s="48"/>
      <c r="D116" s="48"/>
      <c r="E116" s="48"/>
      <c r="F116" s="48"/>
      <c r="G116" s="48"/>
      <c r="H116" s="48"/>
      <c r="I116" s="48"/>
      <c r="J116" s="48"/>
      <c r="K116" s="48"/>
      <c r="L116" s="48"/>
      <c r="M116" s="48"/>
      <c r="N116" s="48"/>
      <c r="O116" s="48"/>
      <c r="P116" s="48"/>
      <c r="Q116" s="48"/>
      <c r="R116" s="48"/>
      <c r="S116" s="48"/>
      <c r="T116" s="48"/>
      <c r="U116" s="48"/>
      <c r="V116" s="48"/>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row>
    <row r="117" spans="1:45">
      <c r="A117" s="48"/>
      <c r="B117" s="48"/>
      <c r="C117" s="48"/>
      <c r="D117" s="48"/>
      <c r="E117" s="48"/>
      <c r="F117" s="48"/>
      <c r="G117" s="48"/>
      <c r="H117" s="48"/>
      <c r="I117" s="48"/>
      <c r="J117" s="48"/>
      <c r="K117" s="48"/>
      <c r="L117" s="48"/>
      <c r="M117" s="48"/>
      <c r="N117" s="48"/>
      <c r="O117" s="48"/>
      <c r="P117" s="48"/>
      <c r="Q117" s="48"/>
      <c r="R117" s="48"/>
      <c r="S117" s="48"/>
      <c r="T117" s="48"/>
      <c r="U117" s="48"/>
      <c r="V117" s="48"/>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row>
    <row r="118" spans="1:45">
      <c r="A118" s="48"/>
      <c r="B118" s="48"/>
      <c r="C118" s="48"/>
      <c r="D118" s="48"/>
      <c r="E118" s="48"/>
      <c r="F118" s="48"/>
      <c r="G118" s="48"/>
      <c r="H118" s="48"/>
      <c r="I118" s="48"/>
      <c r="J118" s="48"/>
      <c r="K118" s="48"/>
      <c r="L118" s="48"/>
      <c r="M118" s="48"/>
      <c r="N118" s="48"/>
      <c r="O118" s="48"/>
      <c r="P118" s="48"/>
      <c r="Q118" s="48"/>
      <c r="R118" s="48"/>
      <c r="S118" s="48"/>
      <c r="T118" s="48"/>
      <c r="U118" s="48"/>
      <c r="V118" s="48"/>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row>
    <row r="119" spans="1:45">
      <c r="A119" s="48"/>
      <c r="B119" s="48"/>
      <c r="C119" s="48"/>
      <c r="D119" s="48"/>
      <c r="E119" s="48"/>
      <c r="F119" s="48"/>
      <c r="G119" s="48"/>
      <c r="H119" s="48"/>
      <c r="I119" s="48"/>
      <c r="J119" s="48"/>
      <c r="K119" s="48"/>
      <c r="L119" s="48"/>
      <c r="M119" s="48"/>
      <c r="N119" s="48"/>
      <c r="O119" s="48"/>
      <c r="P119" s="48"/>
      <c r="Q119" s="48"/>
      <c r="R119" s="48"/>
      <c r="S119" s="48"/>
      <c r="T119" s="48"/>
      <c r="U119" s="48"/>
      <c r="V119" s="48"/>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row>
    <row r="120" spans="1:45">
      <c r="A120" s="48"/>
      <c r="B120" s="48"/>
      <c r="C120" s="48"/>
      <c r="D120" s="48"/>
      <c r="E120" s="48"/>
      <c r="F120" s="48"/>
      <c r="G120" s="48"/>
      <c r="H120" s="48"/>
      <c r="I120" s="48"/>
      <c r="J120" s="48"/>
      <c r="K120" s="48"/>
      <c r="L120" s="48"/>
      <c r="M120" s="48"/>
      <c r="N120" s="48"/>
      <c r="O120" s="48"/>
      <c r="P120" s="48"/>
      <c r="Q120" s="48"/>
      <c r="R120" s="48"/>
      <c r="S120" s="48"/>
      <c r="T120" s="48"/>
      <c r="U120" s="48"/>
      <c r="V120" s="48"/>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row>
    <row r="121" spans="1:45">
      <c r="A121" s="48"/>
      <c r="B121" s="48"/>
      <c r="C121" s="48"/>
      <c r="D121" s="48"/>
      <c r="E121" s="48"/>
      <c r="F121" s="48"/>
      <c r="G121" s="48"/>
      <c r="H121" s="48"/>
      <c r="I121" s="48"/>
      <c r="J121" s="48"/>
      <c r="K121" s="48"/>
      <c r="L121" s="48"/>
      <c r="M121" s="48"/>
      <c r="N121" s="48"/>
      <c r="O121" s="48"/>
      <c r="P121" s="48"/>
      <c r="Q121" s="48"/>
      <c r="R121" s="48"/>
      <c r="S121" s="48"/>
      <c r="T121" s="48"/>
      <c r="U121" s="48"/>
      <c r="V121" s="48"/>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row>
    <row r="122" spans="1:45">
      <c r="A122" s="48"/>
      <c r="B122" s="48"/>
      <c r="C122" s="48"/>
      <c r="D122" s="48"/>
      <c r="E122" s="48"/>
      <c r="F122" s="48"/>
      <c r="G122" s="48"/>
      <c r="H122" s="48"/>
      <c r="I122" s="48"/>
      <c r="J122" s="48"/>
      <c r="K122" s="48"/>
      <c r="L122" s="48"/>
      <c r="M122" s="48"/>
      <c r="N122" s="48"/>
      <c r="O122" s="48"/>
      <c r="P122" s="48"/>
      <c r="Q122" s="48"/>
      <c r="R122" s="48"/>
      <c r="S122" s="48"/>
      <c r="T122" s="48"/>
      <c r="U122" s="48"/>
      <c r="V122" s="48"/>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row>
    <row r="123" spans="1:45">
      <c r="A123" s="48"/>
      <c r="B123" s="48"/>
      <c r="C123" s="48"/>
      <c r="D123" s="48"/>
      <c r="E123" s="48"/>
      <c r="F123" s="48"/>
      <c r="G123" s="48"/>
      <c r="H123" s="48"/>
      <c r="I123" s="48"/>
      <c r="J123" s="48"/>
      <c r="K123" s="48"/>
      <c r="L123" s="48"/>
      <c r="M123" s="48"/>
      <c r="N123" s="48"/>
      <c r="O123" s="48"/>
      <c r="P123" s="48"/>
      <c r="Q123" s="48"/>
      <c r="R123" s="48"/>
      <c r="S123" s="48"/>
      <c r="T123" s="48"/>
      <c r="U123" s="48"/>
      <c r="V123" s="48"/>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row>
    <row r="124" spans="1:45">
      <c r="A124" s="48"/>
      <c r="B124" s="48"/>
      <c r="C124" s="48"/>
      <c r="D124" s="48"/>
      <c r="E124" s="48"/>
      <c r="F124" s="48"/>
      <c r="G124" s="48"/>
      <c r="H124" s="48"/>
      <c r="I124" s="48"/>
      <c r="J124" s="48"/>
      <c r="K124" s="48"/>
      <c r="L124" s="48"/>
      <c r="M124" s="48"/>
      <c r="N124" s="48"/>
      <c r="O124" s="48"/>
      <c r="P124" s="48"/>
      <c r="Q124" s="48"/>
      <c r="R124" s="48"/>
      <c r="S124" s="48"/>
      <c r="T124" s="48"/>
      <c r="U124" s="48"/>
      <c r="V124" s="48"/>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row>
    <row r="125" spans="1:45">
      <c r="A125" s="48"/>
      <c r="B125" s="48"/>
      <c r="C125" s="48"/>
      <c r="D125" s="48"/>
      <c r="E125" s="48"/>
      <c r="F125" s="48"/>
      <c r="G125" s="48"/>
      <c r="H125" s="48"/>
      <c r="I125" s="48"/>
      <c r="J125" s="48"/>
      <c r="K125" s="48"/>
      <c r="L125" s="48"/>
      <c r="M125" s="48"/>
      <c r="N125" s="48"/>
      <c r="O125" s="48"/>
      <c r="P125" s="48"/>
      <c r="Q125" s="48"/>
      <c r="R125" s="48"/>
      <c r="S125" s="48"/>
      <c r="T125" s="48"/>
      <c r="U125" s="48"/>
      <c r="V125" s="48"/>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row>
    <row r="126" spans="1:45">
      <c r="A126" s="48"/>
      <c r="B126" s="48"/>
      <c r="C126" s="48"/>
      <c r="D126" s="48"/>
      <c r="E126" s="48"/>
      <c r="F126" s="48"/>
      <c r="G126" s="48"/>
      <c r="H126" s="48"/>
      <c r="I126" s="48"/>
      <c r="J126" s="48"/>
      <c r="K126" s="48"/>
      <c r="L126" s="48"/>
      <c r="M126" s="48"/>
      <c r="N126" s="48"/>
      <c r="O126" s="48"/>
      <c r="P126" s="48"/>
      <c r="Q126" s="48"/>
      <c r="R126" s="48"/>
      <c r="S126" s="48"/>
      <c r="T126" s="48"/>
      <c r="U126" s="48"/>
      <c r="V126" s="48"/>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row>
    <row r="127" spans="1:45">
      <c r="A127" s="48"/>
      <c r="B127" s="48"/>
      <c r="C127" s="48"/>
      <c r="D127" s="48"/>
      <c r="E127" s="48"/>
      <c r="F127" s="48"/>
      <c r="G127" s="48"/>
      <c r="H127" s="48"/>
      <c r="I127" s="48"/>
      <c r="J127" s="48"/>
      <c r="K127" s="48"/>
      <c r="L127" s="48"/>
      <c r="M127" s="48"/>
      <c r="N127" s="48"/>
      <c r="O127" s="48"/>
      <c r="P127" s="48"/>
      <c r="Q127" s="48"/>
      <c r="R127" s="48"/>
      <c r="S127" s="48"/>
      <c r="T127" s="48"/>
      <c r="U127" s="48"/>
      <c r="V127" s="48"/>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row>
    <row r="128" spans="1:45">
      <c r="A128" s="48"/>
      <c r="B128" s="48"/>
      <c r="C128" s="48"/>
      <c r="D128" s="48"/>
      <c r="E128" s="48"/>
      <c r="F128" s="48"/>
      <c r="G128" s="48"/>
      <c r="H128" s="48"/>
      <c r="I128" s="48"/>
      <c r="J128" s="48"/>
      <c r="K128" s="48"/>
      <c r="L128" s="48"/>
      <c r="M128" s="48"/>
      <c r="N128" s="48"/>
      <c r="O128" s="48"/>
      <c r="P128" s="48"/>
      <c r="Q128" s="48"/>
      <c r="R128" s="48"/>
      <c r="S128" s="48"/>
      <c r="T128" s="48"/>
      <c r="U128" s="48"/>
      <c r="V128" s="48"/>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row>
    <row r="129" spans="1:45">
      <c r="A129" s="48"/>
      <c r="B129" s="48"/>
      <c r="C129" s="48"/>
      <c r="D129" s="48"/>
      <c r="E129" s="48"/>
      <c r="F129" s="48"/>
      <c r="G129" s="48"/>
      <c r="H129" s="48"/>
      <c r="I129" s="48"/>
      <c r="J129" s="48"/>
      <c r="K129" s="48"/>
      <c r="L129" s="48"/>
      <c r="M129" s="48"/>
      <c r="N129" s="48"/>
      <c r="O129" s="48"/>
      <c r="P129" s="48"/>
      <c r="Q129" s="48"/>
      <c r="R129" s="48"/>
      <c r="S129" s="48"/>
      <c r="T129" s="48"/>
      <c r="U129" s="48"/>
      <c r="V129" s="48"/>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row>
    <row r="130" spans="1:45">
      <c r="A130" s="48"/>
      <c r="B130" s="48"/>
      <c r="C130" s="48"/>
      <c r="D130" s="48"/>
      <c r="E130" s="48"/>
      <c r="F130" s="48"/>
      <c r="G130" s="48"/>
      <c r="H130" s="48"/>
      <c r="I130" s="48"/>
      <c r="J130" s="48"/>
      <c r="K130" s="48"/>
      <c r="L130" s="48"/>
      <c r="M130" s="48"/>
      <c r="N130" s="48"/>
      <c r="O130" s="48"/>
      <c r="P130" s="48"/>
      <c r="Q130" s="48"/>
      <c r="R130" s="48"/>
      <c r="S130" s="48"/>
      <c r="T130" s="48"/>
      <c r="U130" s="48"/>
      <c r="V130" s="48"/>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row>
    <row r="131" spans="1:45">
      <c r="A131" s="48"/>
      <c r="B131" s="48"/>
      <c r="C131" s="48"/>
      <c r="D131" s="48"/>
      <c r="E131" s="48"/>
      <c r="F131" s="48"/>
      <c r="G131" s="48"/>
      <c r="H131" s="48"/>
      <c r="I131" s="48"/>
      <c r="J131" s="48"/>
      <c r="K131" s="48"/>
      <c r="L131" s="48"/>
      <c r="M131" s="48"/>
      <c r="N131" s="48"/>
      <c r="O131" s="48"/>
      <c r="P131" s="48"/>
      <c r="Q131" s="48"/>
      <c r="R131" s="48"/>
      <c r="S131" s="48"/>
      <c r="T131" s="48"/>
      <c r="U131" s="48"/>
      <c r="V131" s="48"/>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row>
    <row r="132" spans="1:45">
      <c r="A132" s="48"/>
      <c r="B132" s="48"/>
      <c r="C132" s="48"/>
      <c r="D132" s="48"/>
      <c r="E132" s="48"/>
      <c r="F132" s="48"/>
      <c r="G132" s="48"/>
      <c r="H132" s="48"/>
      <c r="I132" s="48"/>
      <c r="J132" s="48"/>
      <c r="K132" s="48"/>
      <c r="L132" s="48"/>
      <c r="M132" s="48"/>
      <c r="N132" s="48"/>
      <c r="O132" s="48"/>
      <c r="P132" s="48"/>
      <c r="Q132" s="48"/>
      <c r="R132" s="48"/>
      <c r="S132" s="48"/>
      <c r="T132" s="48"/>
      <c r="U132" s="48"/>
      <c r="V132" s="48"/>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row>
    <row r="133" spans="1:45">
      <c r="A133" s="48"/>
      <c r="B133" s="48"/>
      <c r="C133" s="48"/>
      <c r="D133" s="48"/>
      <c r="E133" s="48"/>
      <c r="F133" s="48"/>
      <c r="G133" s="48"/>
      <c r="H133" s="48"/>
      <c r="I133" s="48"/>
      <c r="J133" s="48"/>
      <c r="K133" s="48"/>
      <c r="L133" s="48"/>
      <c r="M133" s="48"/>
      <c r="N133" s="48"/>
      <c r="O133" s="48"/>
      <c r="P133" s="48"/>
      <c r="Q133" s="48"/>
      <c r="R133" s="48"/>
      <c r="S133" s="48"/>
      <c r="T133" s="48"/>
      <c r="U133" s="48"/>
      <c r="V133" s="48"/>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row>
    <row r="134" spans="1:45">
      <c r="A134" s="48"/>
      <c r="B134" s="48"/>
      <c r="C134" s="48"/>
      <c r="D134" s="48"/>
      <c r="E134" s="48"/>
      <c r="F134" s="48"/>
      <c r="G134" s="48"/>
      <c r="H134" s="48"/>
      <c r="I134" s="48"/>
      <c r="J134" s="48"/>
      <c r="K134" s="48"/>
      <c r="L134" s="48"/>
      <c r="M134" s="48"/>
      <c r="N134" s="48"/>
      <c r="O134" s="48"/>
      <c r="P134" s="48"/>
      <c r="Q134" s="48"/>
      <c r="R134" s="48"/>
      <c r="S134" s="48"/>
      <c r="T134" s="48"/>
      <c r="U134" s="48"/>
      <c r="V134" s="48"/>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row>
    <row r="135" spans="1:45">
      <c r="A135" s="48"/>
      <c r="B135" s="48"/>
      <c r="C135" s="48"/>
      <c r="D135" s="48"/>
      <c r="E135" s="48"/>
      <c r="F135" s="48"/>
      <c r="G135" s="48"/>
      <c r="H135" s="48"/>
      <c r="I135" s="48"/>
      <c r="J135" s="48"/>
      <c r="K135" s="48"/>
      <c r="L135" s="48"/>
      <c r="M135" s="48"/>
      <c r="N135" s="48"/>
      <c r="O135" s="48"/>
      <c r="P135" s="48"/>
      <c r="Q135" s="48"/>
      <c r="R135" s="48"/>
      <c r="S135" s="48"/>
      <c r="T135" s="48"/>
      <c r="U135" s="48"/>
      <c r="V135" s="48"/>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row>
    <row r="136" spans="1:45">
      <c r="A136" s="48"/>
      <c r="B136" s="48"/>
      <c r="C136" s="48"/>
      <c r="D136" s="48"/>
      <c r="E136" s="48"/>
      <c r="F136" s="48"/>
      <c r="G136" s="48"/>
      <c r="H136" s="48"/>
      <c r="I136" s="48"/>
      <c r="J136" s="48"/>
      <c r="K136" s="48"/>
      <c r="L136" s="48"/>
      <c r="M136" s="48"/>
      <c r="N136" s="48"/>
      <c r="O136" s="48"/>
      <c r="P136" s="48"/>
      <c r="Q136" s="48"/>
      <c r="R136" s="48"/>
      <c r="S136" s="48"/>
      <c r="T136" s="48"/>
      <c r="U136" s="48"/>
      <c r="V136" s="48"/>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row>
    <row r="137" spans="1:45">
      <c r="A137" s="48"/>
      <c r="B137" s="48"/>
      <c r="C137" s="48"/>
      <c r="D137" s="48"/>
      <c r="E137" s="48"/>
      <c r="F137" s="48"/>
      <c r="G137" s="48"/>
      <c r="H137" s="48"/>
      <c r="I137" s="48"/>
      <c r="J137" s="48"/>
      <c r="K137" s="48"/>
      <c r="L137" s="48"/>
      <c r="M137" s="48"/>
      <c r="N137" s="48"/>
      <c r="O137" s="48"/>
      <c r="P137" s="48"/>
      <c r="Q137" s="48"/>
      <c r="R137" s="48"/>
      <c r="S137" s="48"/>
      <c r="T137" s="48"/>
      <c r="U137" s="48"/>
      <c r="V137" s="48"/>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row>
    <row r="138" spans="1:45">
      <c r="A138" s="48"/>
      <c r="B138" s="48"/>
      <c r="C138" s="48"/>
      <c r="D138" s="48"/>
      <c r="E138" s="48"/>
      <c r="F138" s="48"/>
      <c r="G138" s="48"/>
      <c r="H138" s="48"/>
      <c r="I138" s="48"/>
      <c r="J138" s="48"/>
      <c r="K138" s="48"/>
      <c r="L138" s="48"/>
      <c r="M138" s="48"/>
      <c r="N138" s="48"/>
      <c r="O138" s="48"/>
      <c r="P138" s="48"/>
      <c r="Q138" s="48"/>
      <c r="R138" s="48"/>
      <c r="S138" s="48"/>
      <c r="T138" s="48"/>
      <c r="U138" s="48"/>
      <c r="V138" s="48"/>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row>
    <row r="139" spans="1:45">
      <c r="A139" s="48"/>
      <c r="B139" s="48"/>
      <c r="C139" s="48"/>
      <c r="D139" s="48"/>
      <c r="E139" s="48"/>
      <c r="F139" s="48"/>
      <c r="G139" s="48"/>
      <c r="H139" s="48"/>
      <c r="I139" s="48"/>
      <c r="J139" s="48"/>
      <c r="K139" s="48"/>
      <c r="L139" s="48"/>
      <c r="M139" s="48"/>
      <c r="N139" s="48"/>
      <c r="O139" s="48"/>
      <c r="P139" s="48"/>
      <c r="Q139" s="48"/>
      <c r="R139" s="48"/>
      <c r="S139" s="48"/>
      <c r="T139" s="48"/>
      <c r="U139" s="48"/>
      <c r="V139" s="48"/>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row>
    <row r="140" spans="1:45">
      <c r="A140" s="48"/>
      <c r="B140" s="48"/>
      <c r="C140" s="48"/>
      <c r="D140" s="48"/>
      <c r="E140" s="48"/>
      <c r="F140" s="48"/>
      <c r="G140" s="48"/>
      <c r="H140" s="48"/>
      <c r="I140" s="48"/>
      <c r="J140" s="48"/>
      <c r="K140" s="48"/>
      <c r="L140" s="48"/>
      <c r="M140" s="48"/>
      <c r="N140" s="48"/>
      <c r="O140" s="48"/>
      <c r="P140" s="48"/>
      <c r="Q140" s="48"/>
      <c r="R140" s="48"/>
      <c r="S140" s="48"/>
      <c r="T140" s="48"/>
      <c r="U140" s="48"/>
      <c r="V140" s="48"/>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row>
    <row r="141" spans="1:45">
      <c r="A141" s="48"/>
      <c r="B141" s="48"/>
      <c r="C141" s="48"/>
      <c r="D141" s="48"/>
      <c r="E141" s="48"/>
      <c r="F141" s="48"/>
      <c r="G141" s="48"/>
      <c r="H141" s="48"/>
      <c r="I141" s="48"/>
      <c r="J141" s="48"/>
      <c r="K141" s="48"/>
      <c r="L141" s="48"/>
      <c r="M141" s="48"/>
      <c r="N141" s="48"/>
      <c r="O141" s="48"/>
      <c r="P141" s="48"/>
      <c r="Q141" s="48"/>
      <c r="R141" s="48"/>
      <c r="S141" s="48"/>
      <c r="T141" s="48"/>
      <c r="U141" s="48"/>
      <c r="V141" s="48"/>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row>
    <row r="142" spans="1:45">
      <c r="A142" s="48"/>
      <c r="B142" s="48"/>
      <c r="C142" s="48"/>
      <c r="D142" s="48"/>
      <c r="E142" s="48"/>
      <c r="F142" s="48"/>
      <c r="G142" s="48"/>
      <c r="H142" s="48"/>
      <c r="I142" s="48"/>
      <c r="J142" s="48"/>
      <c r="K142" s="48"/>
      <c r="L142" s="48"/>
      <c r="M142" s="48"/>
      <c r="N142" s="48"/>
      <c r="O142" s="48"/>
      <c r="P142" s="48"/>
      <c r="Q142" s="48"/>
      <c r="R142" s="48"/>
      <c r="S142" s="48"/>
      <c r="T142" s="48"/>
      <c r="U142" s="48"/>
      <c r="V142" s="48"/>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row>
    <row r="143" spans="1:45">
      <c r="A143" s="48"/>
      <c r="B143" s="48"/>
      <c r="C143" s="48"/>
      <c r="D143" s="48"/>
      <c r="E143" s="48"/>
      <c r="F143" s="48"/>
      <c r="G143" s="48"/>
      <c r="H143" s="48"/>
      <c r="I143" s="48"/>
      <c r="J143" s="48"/>
      <c r="K143" s="48"/>
      <c r="L143" s="48"/>
      <c r="M143" s="48"/>
      <c r="N143" s="48"/>
      <c r="O143" s="48"/>
      <c r="P143" s="48"/>
      <c r="Q143" s="48"/>
      <c r="R143" s="48"/>
      <c r="S143" s="48"/>
      <c r="T143" s="48"/>
      <c r="U143" s="48"/>
      <c r="V143" s="48"/>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row>
    <row r="144" spans="1:45">
      <c r="A144" s="48"/>
      <c r="B144" s="48"/>
      <c r="C144" s="48"/>
      <c r="D144" s="48"/>
      <c r="E144" s="48"/>
      <c r="F144" s="48"/>
      <c r="G144" s="48"/>
      <c r="H144" s="48"/>
      <c r="I144" s="48"/>
      <c r="J144" s="48"/>
      <c r="K144" s="48"/>
      <c r="L144" s="48"/>
      <c r="M144" s="48"/>
      <c r="N144" s="48"/>
      <c r="O144" s="48"/>
      <c r="P144" s="48"/>
      <c r="Q144" s="48"/>
      <c r="R144" s="48"/>
      <c r="S144" s="48"/>
      <c r="T144" s="48"/>
      <c r="U144" s="48"/>
      <c r="V144" s="48"/>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row>
    <row r="145" spans="1:45">
      <c r="A145" s="48"/>
      <c r="B145" s="48"/>
      <c r="C145" s="48"/>
      <c r="D145" s="48"/>
      <c r="E145" s="48"/>
      <c r="F145" s="48"/>
      <c r="G145" s="48"/>
      <c r="H145" s="48"/>
      <c r="I145" s="48"/>
      <c r="J145" s="48"/>
      <c r="K145" s="48"/>
      <c r="L145" s="48"/>
      <c r="M145" s="48"/>
      <c r="N145" s="48"/>
      <c r="O145" s="48"/>
      <c r="P145" s="48"/>
      <c r="Q145" s="48"/>
      <c r="R145" s="48"/>
      <c r="S145" s="48"/>
      <c r="T145" s="48"/>
      <c r="U145" s="48"/>
      <c r="V145" s="48"/>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row>
    <row r="146" spans="1:45">
      <c r="A146" s="48"/>
      <c r="B146" s="48"/>
      <c r="C146" s="48"/>
      <c r="D146" s="48"/>
      <c r="E146" s="48"/>
      <c r="F146" s="48"/>
      <c r="G146" s="48"/>
      <c r="H146" s="48"/>
      <c r="I146" s="48"/>
      <c r="J146" s="48"/>
      <c r="K146" s="48"/>
      <c r="L146" s="48"/>
      <c r="M146" s="48"/>
      <c r="N146" s="48"/>
      <c r="O146" s="48"/>
      <c r="P146" s="48"/>
      <c r="Q146" s="48"/>
      <c r="R146" s="48"/>
      <c r="S146" s="48"/>
      <c r="T146" s="48"/>
      <c r="U146" s="48"/>
      <c r="V146" s="48"/>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row>
    <row r="147" spans="1:45">
      <c r="A147" s="48"/>
      <c r="B147" s="48"/>
      <c r="C147" s="48"/>
      <c r="D147" s="48"/>
      <c r="E147" s="48"/>
      <c r="F147" s="48"/>
      <c r="G147" s="48"/>
      <c r="H147" s="48"/>
      <c r="I147" s="48"/>
      <c r="J147" s="48"/>
      <c r="K147" s="48"/>
      <c r="L147" s="48"/>
      <c r="M147" s="48"/>
      <c r="N147" s="48"/>
      <c r="O147" s="48"/>
      <c r="P147" s="48"/>
      <c r="Q147" s="48"/>
      <c r="R147" s="48"/>
      <c r="S147" s="48"/>
      <c r="T147" s="48"/>
      <c r="U147" s="48"/>
      <c r="V147" s="48"/>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row>
    <row r="148" spans="1:45">
      <c r="A148" s="48"/>
      <c r="B148" s="48"/>
      <c r="C148" s="48"/>
      <c r="D148" s="48"/>
      <c r="E148" s="48"/>
      <c r="F148" s="48"/>
      <c r="G148" s="48"/>
      <c r="H148" s="48"/>
      <c r="I148" s="48"/>
      <c r="J148" s="48"/>
      <c r="K148" s="48"/>
      <c r="L148" s="48"/>
      <c r="M148" s="48"/>
      <c r="N148" s="48"/>
      <c r="O148" s="48"/>
      <c r="P148" s="48"/>
      <c r="Q148" s="48"/>
      <c r="R148" s="48"/>
      <c r="S148" s="48"/>
      <c r="T148" s="48"/>
      <c r="U148" s="48"/>
      <c r="V148" s="48"/>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row>
    <row r="149" spans="1:45">
      <c r="A149" s="48"/>
      <c r="B149" s="48"/>
      <c r="C149" s="48"/>
      <c r="D149" s="48"/>
      <c r="E149" s="48"/>
      <c r="F149" s="48"/>
      <c r="G149" s="48"/>
      <c r="H149" s="48"/>
      <c r="I149" s="48"/>
      <c r="J149" s="48"/>
      <c r="K149" s="48"/>
      <c r="L149" s="48"/>
      <c r="M149" s="48"/>
      <c r="N149" s="48"/>
      <c r="O149" s="48"/>
      <c r="P149" s="48"/>
      <c r="Q149" s="48"/>
      <c r="R149" s="48"/>
      <c r="S149" s="48"/>
      <c r="T149" s="48"/>
      <c r="U149" s="48"/>
      <c r="V149" s="48"/>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row>
    <row r="150" spans="1:45">
      <c r="A150" s="48"/>
      <c r="B150" s="48"/>
      <c r="C150" s="48"/>
      <c r="D150" s="48"/>
      <c r="E150" s="48"/>
      <c r="F150" s="48"/>
      <c r="G150" s="48"/>
      <c r="H150" s="48"/>
      <c r="I150" s="48"/>
      <c r="J150" s="48"/>
      <c r="K150" s="48"/>
      <c r="L150" s="48"/>
      <c r="M150" s="48"/>
      <c r="N150" s="48"/>
      <c r="O150" s="48"/>
      <c r="P150" s="48"/>
      <c r="Q150" s="48"/>
      <c r="R150" s="48"/>
      <c r="S150" s="48"/>
      <c r="T150" s="48"/>
      <c r="U150" s="48"/>
      <c r="V150" s="48"/>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row>
    <row r="151" spans="1:45">
      <c r="A151" s="48"/>
      <c r="B151" s="48"/>
      <c r="C151" s="48"/>
      <c r="D151" s="48"/>
      <c r="E151" s="48"/>
      <c r="F151" s="48"/>
      <c r="G151" s="48"/>
      <c r="H151" s="48"/>
      <c r="I151" s="48"/>
      <c r="J151" s="48"/>
      <c r="K151" s="48"/>
      <c r="L151" s="48"/>
      <c r="M151" s="48"/>
      <c r="N151" s="48"/>
      <c r="O151" s="48"/>
      <c r="P151" s="48"/>
      <c r="Q151" s="48"/>
      <c r="R151" s="48"/>
      <c r="S151" s="48"/>
      <c r="T151" s="48"/>
      <c r="U151" s="48"/>
      <c r="V151" s="48"/>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row>
    <row r="152" spans="1:45">
      <c r="A152" s="48"/>
      <c r="B152" s="48"/>
      <c r="C152" s="48"/>
      <c r="D152" s="48"/>
      <c r="E152" s="48"/>
      <c r="F152" s="48"/>
      <c r="G152" s="48"/>
      <c r="H152" s="48"/>
      <c r="I152" s="48"/>
      <c r="J152" s="48"/>
      <c r="K152" s="48"/>
      <c r="L152" s="48"/>
      <c r="M152" s="48"/>
      <c r="N152" s="48"/>
      <c r="O152" s="48"/>
      <c r="P152" s="48"/>
      <c r="Q152" s="48"/>
      <c r="R152" s="48"/>
      <c r="S152" s="48"/>
      <c r="T152" s="48"/>
      <c r="U152" s="48"/>
      <c r="V152" s="48"/>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row>
    <row r="153" spans="1:45">
      <c r="A153" s="48"/>
      <c r="B153" s="48"/>
      <c r="C153" s="48"/>
      <c r="D153" s="48"/>
      <c r="E153" s="48"/>
      <c r="F153" s="48"/>
      <c r="G153" s="48"/>
      <c r="H153" s="48"/>
      <c r="I153" s="48"/>
      <c r="J153" s="48"/>
      <c r="K153" s="48"/>
      <c r="L153" s="48"/>
      <c r="M153" s="48"/>
      <c r="N153" s="48"/>
      <c r="O153" s="48"/>
      <c r="P153" s="48"/>
      <c r="Q153" s="48"/>
      <c r="R153" s="48"/>
      <c r="S153" s="48"/>
      <c r="T153" s="48"/>
      <c r="U153" s="48"/>
      <c r="V153" s="48"/>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row>
    <row r="154" spans="1:45">
      <c r="A154" s="48"/>
      <c r="B154" s="48"/>
      <c r="C154" s="48"/>
      <c r="D154" s="48"/>
      <c r="E154" s="48"/>
      <c r="F154" s="48"/>
      <c r="G154" s="48"/>
      <c r="H154" s="48"/>
      <c r="I154" s="48"/>
      <c r="J154" s="48"/>
      <c r="K154" s="48"/>
      <c r="L154" s="48"/>
      <c r="M154" s="48"/>
      <c r="N154" s="48"/>
      <c r="O154" s="48"/>
      <c r="P154" s="48"/>
      <c r="Q154" s="48"/>
      <c r="R154" s="48"/>
      <c r="S154" s="48"/>
      <c r="T154" s="48"/>
      <c r="U154" s="48"/>
      <c r="V154" s="48"/>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row>
    <row r="155" spans="1:45">
      <c r="A155" s="48"/>
      <c r="B155" s="48"/>
      <c r="C155" s="48"/>
      <c r="D155" s="48"/>
      <c r="E155" s="48"/>
      <c r="F155" s="48"/>
      <c r="G155" s="48"/>
      <c r="H155" s="48"/>
      <c r="I155" s="48"/>
      <c r="J155" s="48"/>
      <c r="K155" s="48"/>
      <c r="L155" s="48"/>
      <c r="M155" s="48"/>
      <c r="N155" s="48"/>
      <c r="O155" s="48"/>
      <c r="P155" s="48"/>
      <c r="Q155" s="48"/>
      <c r="R155" s="48"/>
      <c r="S155" s="48"/>
      <c r="T155" s="48"/>
      <c r="U155" s="48"/>
      <c r="V155" s="48"/>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row>
    <row r="156" spans="1:45">
      <c r="A156" s="48"/>
      <c r="B156" s="48"/>
      <c r="C156" s="48"/>
      <c r="D156" s="48"/>
      <c r="E156" s="48"/>
      <c r="F156" s="48"/>
      <c r="G156" s="48"/>
      <c r="H156" s="48"/>
      <c r="I156" s="48"/>
      <c r="J156" s="48"/>
      <c r="K156" s="48"/>
      <c r="L156" s="48"/>
      <c r="M156" s="48"/>
      <c r="N156" s="48"/>
      <c r="O156" s="48"/>
      <c r="P156" s="48"/>
      <c r="Q156" s="48"/>
      <c r="R156" s="48"/>
      <c r="S156" s="48"/>
      <c r="T156" s="48"/>
      <c r="U156" s="48"/>
      <c r="V156" s="48"/>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row>
    <row r="157" spans="1:45">
      <c r="A157" s="48"/>
      <c r="B157" s="48"/>
      <c r="C157" s="48"/>
      <c r="D157" s="48"/>
      <c r="E157" s="48"/>
      <c r="F157" s="48"/>
      <c r="G157" s="48"/>
      <c r="H157" s="48"/>
      <c r="I157" s="48"/>
      <c r="J157" s="48"/>
      <c r="K157" s="48"/>
      <c r="L157" s="48"/>
      <c r="M157" s="48"/>
      <c r="N157" s="48"/>
      <c r="O157" s="48"/>
      <c r="P157" s="48"/>
      <c r="Q157" s="48"/>
      <c r="R157" s="48"/>
      <c r="S157" s="48"/>
      <c r="T157" s="48"/>
      <c r="U157" s="48"/>
      <c r="V157" s="48"/>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row>
    <row r="158" spans="1:45">
      <c r="A158" s="48"/>
      <c r="B158" s="48"/>
      <c r="C158" s="48"/>
      <c r="D158" s="48"/>
      <c r="E158" s="48"/>
      <c r="F158" s="48"/>
      <c r="G158" s="48"/>
      <c r="H158" s="48"/>
      <c r="I158" s="48"/>
      <c r="J158" s="48"/>
      <c r="K158" s="48"/>
      <c r="L158" s="48"/>
      <c r="M158" s="48"/>
      <c r="N158" s="48"/>
      <c r="O158" s="48"/>
      <c r="P158" s="48"/>
      <c r="Q158" s="48"/>
      <c r="R158" s="48"/>
      <c r="S158" s="48"/>
      <c r="T158" s="48"/>
      <c r="U158" s="48"/>
      <c r="V158" s="48"/>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row>
    <row r="159" spans="1:45">
      <c r="A159" s="48"/>
      <c r="B159" s="48"/>
      <c r="C159" s="48"/>
      <c r="D159" s="48"/>
      <c r="E159" s="48"/>
      <c r="F159" s="48"/>
      <c r="G159" s="48"/>
      <c r="H159" s="48"/>
      <c r="I159" s="48"/>
      <c r="J159" s="48"/>
      <c r="K159" s="48"/>
      <c r="L159" s="48"/>
      <c r="M159" s="48"/>
      <c r="N159" s="48"/>
      <c r="O159" s="48"/>
      <c r="P159" s="48"/>
      <c r="Q159" s="48"/>
      <c r="R159" s="48"/>
      <c r="S159" s="48"/>
      <c r="T159" s="48"/>
      <c r="U159" s="48"/>
      <c r="V159" s="48"/>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row>
    <row r="160" spans="1:45">
      <c r="A160" s="48"/>
      <c r="B160" s="48"/>
      <c r="C160" s="48"/>
      <c r="D160" s="48"/>
      <c r="E160" s="48"/>
      <c r="F160" s="48"/>
      <c r="G160" s="48"/>
      <c r="H160" s="48"/>
      <c r="I160" s="48"/>
      <c r="J160" s="48"/>
      <c r="K160" s="48"/>
      <c r="L160" s="48"/>
      <c r="M160" s="48"/>
      <c r="N160" s="48"/>
      <c r="O160" s="48"/>
      <c r="P160" s="48"/>
      <c r="Q160" s="48"/>
      <c r="R160" s="48"/>
      <c r="S160" s="48"/>
      <c r="T160" s="48"/>
      <c r="U160" s="48"/>
      <c r="V160" s="48"/>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row>
    <row r="161" spans="1:45">
      <c r="A161" s="48"/>
      <c r="B161" s="48"/>
      <c r="C161" s="48"/>
      <c r="D161" s="48"/>
      <c r="E161" s="48"/>
      <c r="F161" s="48"/>
      <c r="G161" s="48"/>
      <c r="H161" s="48"/>
      <c r="I161" s="48"/>
      <c r="J161" s="48"/>
      <c r="K161" s="48"/>
      <c r="L161" s="48"/>
      <c r="M161" s="48"/>
      <c r="N161" s="48"/>
      <c r="O161" s="48"/>
      <c r="P161" s="48"/>
      <c r="Q161" s="48"/>
      <c r="R161" s="48"/>
      <c r="S161" s="48"/>
      <c r="T161" s="48"/>
      <c r="U161" s="48"/>
      <c r="V161" s="48"/>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row>
    <row r="162" spans="1:45">
      <c r="A162" s="48"/>
      <c r="B162" s="48"/>
      <c r="C162" s="48"/>
      <c r="D162" s="48"/>
      <c r="E162" s="48"/>
      <c r="F162" s="48"/>
      <c r="G162" s="48"/>
      <c r="H162" s="48"/>
      <c r="I162" s="48"/>
      <c r="J162" s="48"/>
      <c r="K162" s="48"/>
      <c r="L162" s="48"/>
      <c r="M162" s="48"/>
      <c r="N162" s="48"/>
      <c r="O162" s="48"/>
      <c r="P162" s="48"/>
      <c r="Q162" s="48"/>
      <c r="R162" s="48"/>
      <c r="S162" s="48"/>
      <c r="T162" s="48"/>
      <c r="U162" s="48"/>
      <c r="V162" s="48"/>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row>
    <row r="163" spans="1:45">
      <c r="A163" s="48"/>
      <c r="B163" s="48"/>
      <c r="C163" s="48"/>
      <c r="D163" s="48"/>
      <c r="E163" s="48"/>
      <c r="F163" s="48"/>
      <c r="G163" s="48"/>
      <c r="H163" s="48"/>
      <c r="I163" s="48"/>
      <c r="J163" s="48"/>
      <c r="K163" s="48"/>
      <c r="L163" s="48"/>
      <c r="M163" s="48"/>
      <c r="N163" s="48"/>
      <c r="O163" s="48"/>
      <c r="P163" s="48"/>
      <c r="Q163" s="48"/>
      <c r="R163" s="48"/>
      <c r="S163" s="48"/>
      <c r="T163" s="48"/>
      <c r="U163" s="48"/>
      <c r="V163" s="48"/>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row>
    <row r="164" spans="1:45">
      <c r="A164" s="48"/>
      <c r="B164" s="48"/>
      <c r="C164" s="48"/>
      <c r="D164" s="48"/>
      <c r="E164" s="48"/>
      <c r="F164" s="48"/>
      <c r="G164" s="48"/>
      <c r="H164" s="48"/>
      <c r="I164" s="48"/>
      <c r="J164" s="48"/>
      <c r="K164" s="48"/>
      <c r="L164" s="48"/>
      <c r="M164" s="48"/>
      <c r="N164" s="48"/>
      <c r="O164" s="48"/>
      <c r="P164" s="48"/>
      <c r="Q164" s="48"/>
      <c r="R164" s="48"/>
      <c r="S164" s="48"/>
      <c r="T164" s="48"/>
      <c r="U164" s="48"/>
      <c r="V164" s="48"/>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row>
    <row r="165" spans="1:45">
      <c r="A165" s="48"/>
      <c r="B165" s="48"/>
      <c r="C165" s="48"/>
      <c r="D165" s="48"/>
      <c r="E165" s="48"/>
      <c r="F165" s="48"/>
      <c r="G165" s="48"/>
      <c r="H165" s="48"/>
      <c r="I165" s="48"/>
      <c r="J165" s="48"/>
      <c r="K165" s="48"/>
      <c r="L165" s="48"/>
      <c r="M165" s="48"/>
      <c r="N165" s="48"/>
      <c r="O165" s="48"/>
      <c r="P165" s="48"/>
      <c r="Q165" s="48"/>
      <c r="R165" s="48"/>
      <c r="S165" s="48"/>
      <c r="T165" s="48"/>
      <c r="U165" s="48"/>
      <c r="V165" s="48"/>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row>
    <row r="166" spans="1:45">
      <c r="A166" s="48"/>
      <c r="B166" s="48"/>
      <c r="C166" s="48"/>
      <c r="D166" s="48"/>
      <c r="E166" s="48"/>
      <c r="F166" s="48"/>
      <c r="G166" s="48"/>
      <c r="H166" s="48"/>
      <c r="I166" s="48"/>
      <c r="J166" s="48"/>
      <c r="K166" s="48"/>
      <c r="L166" s="48"/>
      <c r="M166" s="48"/>
      <c r="N166" s="48"/>
      <c r="O166" s="48"/>
      <c r="P166" s="48"/>
      <c r="Q166" s="48"/>
      <c r="R166" s="48"/>
      <c r="S166" s="48"/>
      <c r="T166" s="48"/>
      <c r="U166" s="48"/>
      <c r="V166" s="48"/>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row>
    <row r="167" spans="1:45">
      <c r="A167" s="48"/>
      <c r="B167" s="48"/>
      <c r="C167" s="48"/>
      <c r="D167" s="48"/>
      <c r="E167" s="48"/>
      <c r="F167" s="48"/>
      <c r="G167" s="48"/>
      <c r="H167" s="48"/>
      <c r="I167" s="48"/>
      <c r="J167" s="48"/>
      <c r="K167" s="48"/>
      <c r="L167" s="48"/>
      <c r="M167" s="48"/>
      <c r="N167" s="48"/>
      <c r="O167" s="48"/>
      <c r="P167" s="48"/>
      <c r="Q167" s="48"/>
      <c r="R167" s="48"/>
      <c r="S167" s="48"/>
      <c r="T167" s="48"/>
      <c r="U167" s="48"/>
      <c r="V167" s="48"/>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row>
    <row r="168" spans="1:45">
      <c r="A168" s="48"/>
      <c r="B168" s="48"/>
      <c r="C168" s="48"/>
      <c r="D168" s="48"/>
      <c r="E168" s="48"/>
      <c r="F168" s="48"/>
      <c r="G168" s="48"/>
      <c r="H168" s="48"/>
      <c r="I168" s="48"/>
      <c r="J168" s="48"/>
      <c r="K168" s="48"/>
      <c r="L168" s="48"/>
      <c r="M168" s="48"/>
      <c r="N168" s="48"/>
      <c r="O168" s="48"/>
      <c r="P168" s="48"/>
      <c r="Q168" s="48"/>
      <c r="R168" s="48"/>
      <c r="S168" s="48"/>
      <c r="T168" s="48"/>
      <c r="U168" s="48"/>
      <c r="V168" s="48"/>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row>
    <row r="169" spans="1:45">
      <c r="A169" s="48"/>
      <c r="B169" s="48"/>
      <c r="C169" s="48"/>
      <c r="D169" s="48"/>
      <c r="E169" s="48"/>
      <c r="F169" s="48"/>
      <c r="G169" s="48"/>
      <c r="H169" s="48"/>
      <c r="I169" s="48"/>
      <c r="J169" s="48"/>
      <c r="K169" s="48"/>
      <c r="L169" s="48"/>
      <c r="M169" s="48"/>
      <c r="N169" s="48"/>
      <c r="O169" s="48"/>
      <c r="P169" s="48"/>
      <c r="Q169" s="48"/>
      <c r="R169" s="48"/>
      <c r="S169" s="48"/>
      <c r="T169" s="48"/>
      <c r="U169" s="48"/>
      <c r="V169" s="48"/>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row>
    <row r="170" spans="1:45">
      <c r="A170" s="48"/>
      <c r="B170" s="48"/>
      <c r="C170" s="48"/>
      <c r="D170" s="48"/>
      <c r="E170" s="48"/>
      <c r="F170" s="48"/>
      <c r="G170" s="48"/>
      <c r="H170" s="48"/>
      <c r="I170" s="48"/>
      <c r="J170" s="48"/>
      <c r="K170" s="48"/>
      <c r="L170" s="48"/>
      <c r="M170" s="48"/>
      <c r="N170" s="48"/>
      <c r="O170" s="48"/>
      <c r="P170" s="48"/>
      <c r="Q170" s="48"/>
      <c r="R170" s="48"/>
      <c r="S170" s="48"/>
      <c r="T170" s="48"/>
      <c r="U170" s="48"/>
      <c r="V170" s="48"/>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row>
    <row r="171" spans="1:45">
      <c r="A171" s="48"/>
      <c r="B171" s="48"/>
      <c r="C171" s="48"/>
      <c r="D171" s="48"/>
      <c r="E171" s="48"/>
      <c r="F171" s="48"/>
      <c r="G171" s="48"/>
      <c r="H171" s="48"/>
      <c r="I171" s="48"/>
      <c r="J171" s="48"/>
      <c r="K171" s="48"/>
      <c r="L171" s="48"/>
      <c r="M171" s="48"/>
      <c r="N171" s="48"/>
      <c r="O171" s="48"/>
      <c r="P171" s="48"/>
      <c r="Q171" s="48"/>
      <c r="R171" s="48"/>
      <c r="S171" s="48"/>
      <c r="T171" s="48"/>
      <c r="U171" s="48"/>
      <c r="V171" s="48"/>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row>
    <row r="172" spans="1:45">
      <c r="A172" s="48"/>
      <c r="B172" s="48"/>
      <c r="C172" s="48"/>
      <c r="D172" s="48"/>
      <c r="E172" s="48"/>
      <c r="F172" s="48"/>
      <c r="G172" s="48"/>
      <c r="H172" s="48"/>
      <c r="I172" s="48"/>
      <c r="J172" s="48"/>
      <c r="K172" s="48"/>
      <c r="L172" s="48"/>
      <c r="M172" s="48"/>
      <c r="N172" s="48"/>
      <c r="O172" s="48"/>
      <c r="P172" s="48"/>
      <c r="Q172" s="48"/>
      <c r="R172" s="48"/>
      <c r="S172" s="48"/>
      <c r="T172" s="48"/>
      <c r="U172" s="48"/>
      <c r="V172" s="48"/>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row>
    <row r="173" spans="1:45">
      <c r="A173" s="48"/>
      <c r="B173" s="48"/>
      <c r="C173" s="48"/>
      <c r="D173" s="48"/>
      <c r="E173" s="48"/>
      <c r="F173" s="48"/>
      <c r="G173" s="48"/>
      <c r="H173" s="48"/>
      <c r="I173" s="48"/>
      <c r="J173" s="48"/>
      <c r="K173" s="48"/>
      <c r="L173" s="48"/>
      <c r="M173" s="48"/>
      <c r="N173" s="48"/>
      <c r="O173" s="48"/>
      <c r="P173" s="48"/>
      <c r="Q173" s="48"/>
      <c r="R173" s="48"/>
      <c r="S173" s="48"/>
      <c r="T173" s="48"/>
      <c r="U173" s="48"/>
      <c r="V173" s="48"/>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row>
    <row r="174" spans="1:45">
      <c r="A174" s="48"/>
      <c r="B174" s="48"/>
      <c r="C174" s="48"/>
      <c r="D174" s="48"/>
      <c r="E174" s="48"/>
      <c r="F174" s="48"/>
      <c r="G174" s="48"/>
      <c r="H174" s="48"/>
      <c r="I174" s="48"/>
      <c r="J174" s="48"/>
      <c r="K174" s="48"/>
      <c r="L174" s="48"/>
      <c r="M174" s="48"/>
      <c r="N174" s="48"/>
      <c r="O174" s="48"/>
      <c r="P174" s="48"/>
      <c r="Q174" s="48"/>
      <c r="R174" s="48"/>
      <c r="S174" s="48"/>
      <c r="T174" s="48"/>
      <c r="U174" s="48"/>
      <c r="V174" s="48"/>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row>
    <row r="175" spans="1:45">
      <c r="A175" s="48"/>
      <c r="B175" s="48"/>
      <c r="C175" s="48"/>
      <c r="D175" s="48"/>
      <c r="E175" s="48"/>
      <c r="F175" s="48"/>
      <c r="G175" s="48"/>
      <c r="H175" s="48"/>
      <c r="I175" s="48"/>
      <c r="J175" s="48"/>
      <c r="K175" s="48"/>
      <c r="L175" s="48"/>
      <c r="M175" s="48"/>
      <c r="N175" s="48"/>
      <c r="O175" s="48"/>
      <c r="P175" s="48"/>
      <c r="Q175" s="48"/>
      <c r="R175" s="48"/>
      <c r="S175" s="48"/>
      <c r="T175" s="48"/>
      <c r="U175" s="48"/>
      <c r="V175" s="48"/>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row>
    <row r="176" spans="1:45">
      <c r="A176" s="48"/>
      <c r="B176" s="48"/>
      <c r="C176" s="48"/>
      <c r="D176" s="48"/>
      <c r="E176" s="48"/>
      <c r="F176" s="48"/>
      <c r="G176" s="48"/>
      <c r="H176" s="48"/>
      <c r="I176" s="48"/>
      <c r="J176" s="48"/>
      <c r="K176" s="48"/>
      <c r="L176" s="48"/>
      <c r="M176" s="48"/>
      <c r="N176" s="48"/>
      <c r="O176" s="48"/>
      <c r="P176" s="48"/>
      <c r="Q176" s="48"/>
      <c r="R176" s="48"/>
      <c r="S176" s="48"/>
      <c r="T176" s="48"/>
      <c r="U176" s="48"/>
      <c r="V176" s="48"/>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row>
    <row r="177" spans="1:45">
      <c r="A177" s="48"/>
      <c r="B177" s="48"/>
      <c r="C177" s="48"/>
      <c r="D177" s="48"/>
      <c r="E177" s="48"/>
      <c r="F177" s="48"/>
      <c r="G177" s="48"/>
      <c r="H177" s="48"/>
      <c r="I177" s="48"/>
      <c r="J177" s="48"/>
      <c r="K177" s="48"/>
      <c r="L177" s="48"/>
      <c r="M177" s="48"/>
      <c r="N177" s="48"/>
      <c r="O177" s="48"/>
      <c r="P177" s="48"/>
      <c r="Q177" s="48"/>
      <c r="R177" s="48"/>
      <c r="S177" s="48"/>
      <c r="T177" s="48"/>
      <c r="U177" s="48"/>
      <c r="V177" s="48"/>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row>
    <row r="178" spans="1:45">
      <c r="A178" s="48"/>
      <c r="B178" s="48"/>
      <c r="C178" s="48"/>
      <c r="D178" s="48"/>
      <c r="E178" s="48"/>
      <c r="F178" s="48"/>
      <c r="G178" s="48"/>
      <c r="H178" s="48"/>
      <c r="I178" s="48"/>
      <c r="J178" s="48"/>
      <c r="K178" s="48"/>
      <c r="L178" s="48"/>
      <c r="M178" s="48"/>
      <c r="N178" s="48"/>
      <c r="O178" s="48"/>
      <c r="P178" s="48"/>
      <c r="Q178" s="48"/>
      <c r="R178" s="48"/>
      <c r="S178" s="48"/>
      <c r="T178" s="48"/>
      <c r="U178" s="48"/>
      <c r="V178" s="48"/>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row>
    <row r="179" spans="1:45">
      <c r="A179" s="48"/>
      <c r="B179" s="48"/>
      <c r="C179" s="48"/>
      <c r="D179" s="48"/>
      <c r="E179" s="48"/>
      <c r="F179" s="48"/>
      <c r="G179" s="48"/>
      <c r="H179" s="48"/>
      <c r="I179" s="48"/>
      <c r="J179" s="48"/>
      <c r="K179" s="48"/>
      <c r="L179" s="48"/>
      <c r="M179" s="48"/>
      <c r="N179" s="48"/>
      <c r="O179" s="48"/>
      <c r="P179" s="48"/>
      <c r="Q179" s="48"/>
      <c r="R179" s="48"/>
      <c r="S179" s="48"/>
      <c r="T179" s="48"/>
      <c r="U179" s="48"/>
      <c r="V179" s="48"/>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row>
    <row r="180" spans="1:45">
      <c r="A180" s="48"/>
      <c r="B180" s="48"/>
      <c r="C180" s="48"/>
      <c r="D180" s="48"/>
      <c r="E180" s="48"/>
      <c r="F180" s="48"/>
      <c r="G180" s="48"/>
      <c r="H180" s="48"/>
      <c r="I180" s="48"/>
      <c r="J180" s="48"/>
      <c r="K180" s="48"/>
      <c r="L180" s="48"/>
      <c r="M180" s="48"/>
      <c r="N180" s="48"/>
      <c r="O180" s="48"/>
      <c r="P180" s="48"/>
      <c r="Q180" s="48"/>
      <c r="R180" s="48"/>
      <c r="S180" s="48"/>
      <c r="T180" s="48"/>
      <c r="U180" s="48"/>
      <c r="V180" s="48"/>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row>
    <row r="181" spans="1:45">
      <c r="A181" s="48"/>
      <c r="B181" s="48"/>
      <c r="C181" s="48"/>
      <c r="D181" s="48"/>
      <c r="E181" s="48"/>
      <c r="F181" s="48"/>
      <c r="G181" s="48"/>
      <c r="H181" s="48"/>
      <c r="I181" s="48"/>
      <c r="J181" s="48"/>
      <c r="K181" s="48"/>
      <c r="L181" s="48"/>
      <c r="M181" s="48"/>
      <c r="N181" s="48"/>
      <c r="O181" s="48"/>
      <c r="P181" s="48"/>
      <c r="Q181" s="48"/>
      <c r="R181" s="48"/>
      <c r="S181" s="48"/>
      <c r="T181" s="48"/>
      <c r="U181" s="48"/>
      <c r="V181" s="48"/>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row>
    <row r="182" spans="1:45">
      <c r="A182" s="48"/>
      <c r="B182" s="48"/>
      <c r="C182" s="48"/>
      <c r="D182" s="48"/>
      <c r="E182" s="48"/>
      <c r="F182" s="48"/>
      <c r="G182" s="48"/>
      <c r="H182" s="48"/>
      <c r="I182" s="48"/>
      <c r="J182" s="48"/>
      <c r="K182" s="48"/>
      <c r="L182" s="48"/>
      <c r="M182" s="48"/>
      <c r="N182" s="48"/>
      <c r="O182" s="48"/>
      <c r="P182" s="48"/>
      <c r="Q182" s="48"/>
      <c r="R182" s="48"/>
      <c r="S182" s="48"/>
      <c r="T182" s="48"/>
      <c r="U182" s="48"/>
      <c r="V182" s="48"/>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row>
    <row r="183" spans="1:45">
      <c r="A183" s="48"/>
      <c r="B183" s="48"/>
      <c r="C183" s="48"/>
      <c r="D183" s="48"/>
      <c r="E183" s="48"/>
      <c r="F183" s="48"/>
      <c r="G183" s="48"/>
      <c r="H183" s="48"/>
      <c r="I183" s="48"/>
      <c r="J183" s="48"/>
      <c r="K183" s="48"/>
      <c r="L183" s="48"/>
      <c r="M183" s="48"/>
      <c r="N183" s="48"/>
      <c r="O183" s="48"/>
      <c r="P183" s="48"/>
      <c r="Q183" s="48"/>
      <c r="R183" s="48"/>
      <c r="S183" s="48"/>
      <c r="T183" s="48"/>
      <c r="U183" s="48"/>
      <c r="V183" s="48"/>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row>
    <row r="184" spans="1:45">
      <c r="A184" s="48"/>
      <c r="B184" s="48"/>
      <c r="C184" s="48"/>
      <c r="D184" s="48"/>
      <c r="E184" s="48"/>
      <c r="F184" s="48"/>
      <c r="G184" s="48"/>
      <c r="H184" s="48"/>
      <c r="I184" s="48"/>
      <c r="J184" s="48"/>
      <c r="K184" s="48"/>
      <c r="L184" s="48"/>
      <c r="M184" s="48"/>
      <c r="N184" s="48"/>
      <c r="O184" s="48"/>
      <c r="P184" s="48"/>
      <c r="Q184" s="48"/>
      <c r="R184" s="48"/>
      <c r="S184" s="48"/>
      <c r="T184" s="48"/>
      <c r="U184" s="48"/>
      <c r="V184" s="48"/>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row>
    <row r="185" spans="1:45">
      <c r="A185" s="48"/>
      <c r="B185" s="48"/>
      <c r="C185" s="48"/>
      <c r="D185" s="48"/>
      <c r="E185" s="48"/>
      <c r="F185" s="48"/>
      <c r="G185" s="48"/>
      <c r="H185" s="48"/>
      <c r="I185" s="48"/>
      <c r="J185" s="48"/>
      <c r="K185" s="48"/>
      <c r="L185" s="48"/>
      <c r="M185" s="48"/>
      <c r="N185" s="48"/>
      <c r="O185" s="48"/>
      <c r="P185" s="48"/>
      <c r="Q185" s="48"/>
      <c r="R185" s="48"/>
      <c r="S185" s="48"/>
      <c r="T185" s="48"/>
      <c r="U185" s="48"/>
      <c r="V185" s="48"/>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row>
    <row r="186" spans="1:45">
      <c r="A186" s="48"/>
      <c r="B186" s="48"/>
      <c r="C186" s="48"/>
      <c r="D186" s="48"/>
      <c r="E186" s="48"/>
      <c r="F186" s="48"/>
      <c r="G186" s="48"/>
      <c r="H186" s="48"/>
      <c r="I186" s="48"/>
      <c r="J186" s="48"/>
      <c r="K186" s="48"/>
      <c r="L186" s="48"/>
      <c r="M186" s="48"/>
      <c r="N186" s="48"/>
      <c r="O186" s="48"/>
      <c r="P186" s="48"/>
      <c r="Q186" s="48"/>
      <c r="R186" s="48"/>
      <c r="S186" s="48"/>
      <c r="T186" s="48"/>
      <c r="U186" s="48"/>
      <c r="V186" s="48"/>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row>
    <row r="187" spans="1:45">
      <c r="A187" s="48"/>
      <c r="B187" s="48"/>
      <c r="C187" s="48"/>
      <c r="D187" s="48"/>
      <c r="E187" s="48"/>
      <c r="F187" s="48"/>
      <c r="G187" s="48"/>
      <c r="H187" s="48"/>
      <c r="I187" s="48"/>
      <c r="J187" s="48"/>
      <c r="K187" s="48"/>
      <c r="L187" s="48"/>
      <c r="M187" s="48"/>
      <c r="N187" s="48"/>
      <c r="O187" s="48"/>
      <c r="P187" s="48"/>
      <c r="Q187" s="48"/>
      <c r="R187" s="48"/>
      <c r="S187" s="48"/>
      <c r="T187" s="48"/>
      <c r="U187" s="48"/>
      <c r="V187" s="48"/>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row>
    <row r="188" spans="1:45">
      <c r="A188" s="48"/>
      <c r="B188" s="48"/>
      <c r="C188" s="48"/>
      <c r="D188" s="48"/>
      <c r="E188" s="48"/>
      <c r="F188" s="48"/>
      <c r="G188" s="48"/>
      <c r="H188" s="48"/>
      <c r="I188" s="48"/>
      <c r="J188" s="48"/>
      <c r="K188" s="48"/>
      <c r="L188" s="48"/>
      <c r="M188" s="48"/>
      <c r="N188" s="48"/>
      <c r="O188" s="48"/>
      <c r="P188" s="48"/>
      <c r="Q188" s="48"/>
      <c r="R188" s="48"/>
      <c r="S188" s="48"/>
      <c r="T188" s="48"/>
      <c r="U188" s="48"/>
      <c r="V188" s="48"/>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row>
    <row r="189" spans="1:45">
      <c r="A189" s="48"/>
      <c r="B189" s="48"/>
      <c r="C189" s="48"/>
      <c r="D189" s="48"/>
      <c r="E189" s="48"/>
      <c r="F189" s="48"/>
      <c r="G189" s="48"/>
      <c r="H189" s="48"/>
      <c r="I189" s="48"/>
      <c r="J189" s="48"/>
      <c r="K189" s="48"/>
      <c r="L189" s="48"/>
      <c r="M189" s="48"/>
      <c r="N189" s="48"/>
      <c r="O189" s="48"/>
      <c r="P189" s="48"/>
      <c r="Q189" s="48"/>
      <c r="R189" s="48"/>
      <c r="S189" s="48"/>
      <c r="T189" s="48"/>
      <c r="U189" s="48"/>
      <c r="V189" s="48"/>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row>
    <row r="190" spans="1:45">
      <c r="A190" s="48"/>
      <c r="B190" s="48"/>
      <c r="C190" s="48"/>
      <c r="D190" s="48"/>
      <c r="E190" s="48"/>
      <c r="F190" s="48"/>
      <c r="G190" s="48"/>
      <c r="H190" s="48"/>
      <c r="I190" s="48"/>
      <c r="J190" s="48"/>
      <c r="K190" s="48"/>
      <c r="L190" s="48"/>
      <c r="M190" s="48"/>
      <c r="N190" s="48"/>
      <c r="O190" s="48"/>
      <c r="P190" s="48"/>
      <c r="Q190" s="48"/>
      <c r="R190" s="48"/>
      <c r="S190" s="48"/>
      <c r="T190" s="48"/>
      <c r="U190" s="48"/>
      <c r="V190" s="48"/>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row>
    <row r="191" spans="1:45">
      <c r="A191" s="48"/>
      <c r="B191" s="48"/>
      <c r="C191" s="48"/>
      <c r="D191" s="48"/>
      <c r="E191" s="48"/>
      <c r="F191" s="48"/>
      <c r="G191" s="48"/>
      <c r="H191" s="48"/>
      <c r="I191" s="48"/>
      <c r="J191" s="48"/>
      <c r="K191" s="48"/>
      <c r="L191" s="48"/>
      <c r="M191" s="48"/>
      <c r="N191" s="48"/>
      <c r="O191" s="48"/>
      <c r="P191" s="48"/>
      <c r="Q191" s="48"/>
      <c r="R191" s="48"/>
      <c r="S191" s="48"/>
      <c r="T191" s="48"/>
      <c r="U191" s="48"/>
      <c r="V191" s="48"/>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row>
    <row r="192" spans="1:45">
      <c r="A192" s="48"/>
      <c r="B192" s="48"/>
      <c r="C192" s="48"/>
      <c r="D192" s="48"/>
      <c r="E192" s="48"/>
      <c r="F192" s="48"/>
      <c r="G192" s="48"/>
      <c r="H192" s="48"/>
      <c r="I192" s="48"/>
      <c r="J192" s="48"/>
      <c r="K192" s="48"/>
      <c r="L192" s="48"/>
      <c r="M192" s="48"/>
      <c r="N192" s="48"/>
      <c r="O192" s="48"/>
      <c r="P192" s="48"/>
      <c r="Q192" s="48"/>
      <c r="R192" s="48"/>
      <c r="S192" s="48"/>
      <c r="T192" s="48"/>
      <c r="U192" s="48"/>
      <c r="V192" s="48"/>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row>
    <row r="193" spans="1:45">
      <c r="A193" s="48"/>
      <c r="B193" s="48"/>
      <c r="C193" s="48"/>
      <c r="D193" s="48"/>
      <c r="E193" s="48"/>
      <c r="F193" s="48"/>
      <c r="G193" s="48"/>
      <c r="H193" s="48"/>
      <c r="I193" s="48"/>
      <c r="J193" s="48"/>
      <c r="K193" s="48"/>
      <c r="L193" s="48"/>
      <c r="M193" s="48"/>
      <c r="N193" s="48"/>
      <c r="O193" s="48"/>
      <c r="P193" s="48"/>
      <c r="Q193" s="48"/>
      <c r="R193" s="48"/>
      <c r="S193" s="48"/>
      <c r="T193" s="48"/>
      <c r="U193" s="48"/>
      <c r="V193" s="48"/>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row>
    <row r="194" spans="1:45">
      <c r="A194" s="48"/>
      <c r="B194" s="48"/>
      <c r="C194" s="48"/>
      <c r="D194" s="48"/>
      <c r="E194" s="48"/>
      <c r="F194" s="48"/>
      <c r="G194" s="48"/>
      <c r="H194" s="48"/>
      <c r="I194" s="48"/>
      <c r="J194" s="48"/>
      <c r="K194" s="48"/>
      <c r="L194" s="48"/>
      <c r="M194" s="48"/>
      <c r="N194" s="48"/>
      <c r="O194" s="48"/>
      <c r="P194" s="48"/>
      <c r="Q194" s="48"/>
      <c r="R194" s="48"/>
      <c r="S194" s="48"/>
      <c r="T194" s="48"/>
      <c r="U194" s="48"/>
      <c r="V194" s="48"/>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row>
    <row r="195" spans="1:45">
      <c r="A195" s="48"/>
      <c r="B195" s="48"/>
      <c r="C195" s="48"/>
      <c r="D195" s="48"/>
      <c r="E195" s="48"/>
      <c r="F195" s="48"/>
      <c r="G195" s="48"/>
      <c r="H195" s="48"/>
      <c r="I195" s="48"/>
      <c r="J195" s="48"/>
      <c r="K195" s="48"/>
      <c r="L195" s="48"/>
      <c r="M195" s="48"/>
      <c r="N195" s="48"/>
      <c r="O195" s="48"/>
      <c r="P195" s="48"/>
      <c r="Q195" s="48"/>
      <c r="R195" s="48"/>
      <c r="S195" s="48"/>
      <c r="T195" s="48"/>
      <c r="U195" s="48"/>
      <c r="V195" s="48"/>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row>
    <row r="196" spans="1:45">
      <c r="A196" s="48"/>
      <c r="B196" s="48"/>
      <c r="C196" s="48"/>
      <c r="D196" s="48"/>
      <c r="E196" s="48"/>
      <c r="F196" s="48"/>
      <c r="G196" s="48"/>
      <c r="H196" s="48"/>
      <c r="I196" s="48"/>
      <c r="J196" s="48"/>
      <c r="K196" s="48"/>
      <c r="L196" s="48"/>
      <c r="M196" s="48"/>
      <c r="N196" s="48"/>
      <c r="O196" s="48"/>
      <c r="P196" s="48"/>
      <c r="Q196" s="48"/>
      <c r="R196" s="48"/>
      <c r="S196" s="48"/>
      <c r="T196" s="48"/>
      <c r="U196" s="48"/>
      <c r="V196" s="48"/>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row>
    <row r="197" spans="1:45">
      <c r="A197" s="48"/>
      <c r="B197" s="48"/>
      <c r="C197" s="48"/>
      <c r="D197" s="48"/>
      <c r="E197" s="48"/>
      <c r="F197" s="48"/>
      <c r="G197" s="48"/>
      <c r="H197" s="48"/>
      <c r="I197" s="48"/>
      <c r="J197" s="48"/>
      <c r="K197" s="48"/>
      <c r="L197" s="48"/>
      <c r="M197" s="48"/>
      <c r="N197" s="48"/>
      <c r="O197" s="48"/>
      <c r="P197" s="48"/>
      <c r="Q197" s="48"/>
      <c r="R197" s="48"/>
      <c r="S197" s="48"/>
      <c r="T197" s="48"/>
      <c r="U197" s="48"/>
      <c r="V197" s="48"/>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row>
    <row r="198" spans="1:45">
      <c r="A198" s="48"/>
      <c r="B198" s="48"/>
      <c r="C198" s="48"/>
      <c r="D198" s="48"/>
      <c r="E198" s="48"/>
      <c r="F198" s="48"/>
      <c r="G198" s="48"/>
      <c r="H198" s="48"/>
      <c r="I198" s="48"/>
      <c r="J198" s="48"/>
      <c r="K198" s="48"/>
      <c r="L198" s="48"/>
      <c r="M198" s="48"/>
      <c r="N198" s="48"/>
      <c r="O198" s="48"/>
      <c r="P198" s="48"/>
      <c r="Q198" s="48"/>
      <c r="R198" s="48"/>
      <c r="S198" s="48"/>
      <c r="T198" s="48"/>
      <c r="U198" s="48"/>
      <c r="V198" s="48"/>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row>
    <row r="199" spans="1:45">
      <c r="A199" s="48"/>
      <c r="B199" s="48"/>
      <c r="C199" s="48"/>
      <c r="D199" s="48"/>
      <c r="E199" s="48"/>
      <c r="F199" s="48"/>
      <c r="G199" s="48"/>
      <c r="H199" s="48"/>
      <c r="I199" s="48"/>
      <c r="J199" s="48"/>
      <c r="K199" s="48"/>
      <c r="L199" s="48"/>
      <c r="M199" s="48"/>
      <c r="N199" s="48"/>
      <c r="O199" s="48"/>
      <c r="P199" s="48"/>
      <c r="Q199" s="48"/>
      <c r="R199" s="48"/>
      <c r="S199" s="48"/>
      <c r="T199" s="48"/>
      <c r="U199" s="48"/>
      <c r="V199" s="48"/>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row>
    <row r="200" spans="1:45">
      <c r="A200" s="48"/>
      <c r="B200" s="48"/>
      <c r="C200" s="48"/>
      <c r="D200" s="48"/>
      <c r="E200" s="48"/>
      <c r="F200" s="48"/>
      <c r="G200" s="48"/>
      <c r="H200" s="48"/>
      <c r="I200" s="48"/>
      <c r="J200" s="48"/>
      <c r="K200" s="48"/>
      <c r="L200" s="48"/>
      <c r="M200" s="48"/>
      <c r="N200" s="48"/>
      <c r="O200" s="48"/>
      <c r="P200" s="48"/>
      <c r="Q200" s="48"/>
      <c r="R200" s="48"/>
      <c r="S200" s="48"/>
      <c r="T200" s="48"/>
      <c r="U200" s="48"/>
      <c r="V200" s="48"/>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row>
    <row r="201" spans="1:45">
      <c r="A201" s="48"/>
      <c r="B201" s="48"/>
      <c r="C201" s="48"/>
      <c r="D201" s="48"/>
      <c r="E201" s="48"/>
      <c r="F201" s="48"/>
      <c r="G201" s="48"/>
      <c r="H201" s="48"/>
      <c r="I201" s="48"/>
      <c r="J201" s="48"/>
      <c r="K201" s="48"/>
      <c r="L201" s="48"/>
      <c r="M201" s="48"/>
      <c r="N201" s="48"/>
      <c r="O201" s="48"/>
      <c r="P201" s="48"/>
      <c r="Q201" s="48"/>
      <c r="R201" s="48"/>
      <c r="S201" s="48"/>
      <c r="T201" s="48"/>
      <c r="U201" s="48"/>
      <c r="V201" s="48"/>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row>
    <row r="202" spans="1:45">
      <c r="A202" s="48"/>
      <c r="B202" s="48"/>
      <c r="C202" s="48"/>
      <c r="D202" s="48"/>
      <c r="E202" s="48"/>
      <c r="F202" s="48"/>
      <c r="G202" s="48"/>
      <c r="H202" s="48"/>
      <c r="I202" s="48"/>
      <c r="J202" s="48"/>
      <c r="K202" s="48"/>
      <c r="L202" s="48"/>
      <c r="M202" s="48"/>
      <c r="N202" s="48"/>
      <c r="O202" s="48"/>
      <c r="P202" s="48"/>
      <c r="Q202" s="48"/>
      <c r="R202" s="48"/>
      <c r="S202" s="48"/>
      <c r="T202" s="48"/>
      <c r="U202" s="48"/>
      <c r="V202" s="48"/>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row>
    <row r="203" spans="1:45">
      <c r="A203" s="48"/>
      <c r="B203" s="48"/>
      <c r="C203" s="48"/>
      <c r="D203" s="48"/>
      <c r="E203" s="48"/>
      <c r="F203" s="48"/>
      <c r="G203" s="48"/>
      <c r="H203" s="48"/>
      <c r="I203" s="48"/>
      <c r="J203" s="48"/>
      <c r="K203" s="48"/>
      <c r="L203" s="48"/>
      <c r="M203" s="48"/>
      <c r="N203" s="48"/>
      <c r="O203" s="48"/>
      <c r="P203" s="48"/>
      <c r="Q203" s="48"/>
      <c r="R203" s="48"/>
      <c r="S203" s="48"/>
      <c r="T203" s="48"/>
      <c r="U203" s="48"/>
      <c r="V203" s="48"/>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row>
    <row r="204" spans="1:45">
      <c r="A204" s="48"/>
      <c r="B204" s="48"/>
      <c r="C204" s="48"/>
      <c r="D204" s="48"/>
      <c r="E204" s="48"/>
      <c r="F204" s="48"/>
      <c r="G204" s="48"/>
      <c r="H204" s="48"/>
      <c r="I204" s="48"/>
      <c r="J204" s="48"/>
      <c r="K204" s="48"/>
      <c r="L204" s="48"/>
      <c r="M204" s="48"/>
      <c r="N204" s="48"/>
      <c r="O204" s="48"/>
      <c r="P204" s="48"/>
      <c r="Q204" s="48"/>
      <c r="R204" s="48"/>
      <c r="S204" s="48"/>
      <c r="T204" s="48"/>
      <c r="U204" s="48"/>
      <c r="V204" s="48"/>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row>
    <row r="205" spans="1:45">
      <c r="A205" s="48"/>
      <c r="B205" s="48"/>
      <c r="C205" s="48"/>
      <c r="D205" s="48"/>
      <c r="E205" s="48"/>
      <c r="F205" s="48"/>
      <c r="G205" s="48"/>
      <c r="H205" s="48"/>
      <c r="I205" s="48"/>
      <c r="J205" s="48"/>
      <c r="K205" s="48"/>
      <c r="L205" s="48"/>
      <c r="M205" s="48"/>
      <c r="N205" s="48"/>
      <c r="O205" s="48"/>
      <c r="P205" s="48"/>
      <c r="Q205" s="48"/>
      <c r="R205" s="48"/>
      <c r="S205" s="48"/>
      <c r="T205" s="48"/>
      <c r="U205" s="48"/>
      <c r="V205" s="48"/>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row>
    <row r="206" spans="1:45">
      <c r="A206" s="48"/>
      <c r="B206" s="48"/>
      <c r="C206" s="48"/>
      <c r="D206" s="48"/>
      <c r="E206" s="48"/>
      <c r="F206" s="48"/>
      <c r="G206" s="48"/>
      <c r="H206" s="48"/>
      <c r="I206" s="48"/>
      <c r="J206" s="48"/>
      <c r="K206" s="48"/>
      <c r="L206" s="48"/>
      <c r="M206" s="48"/>
      <c r="N206" s="48"/>
      <c r="O206" s="48"/>
      <c r="P206" s="48"/>
      <c r="Q206" s="48"/>
      <c r="R206" s="48"/>
      <c r="S206" s="48"/>
      <c r="T206" s="48"/>
      <c r="U206" s="48"/>
      <c r="V206" s="48"/>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row>
    <row r="207" spans="1:45">
      <c r="A207" s="48"/>
      <c r="B207" s="48"/>
      <c r="C207" s="48"/>
      <c r="D207" s="48"/>
      <c r="E207" s="48"/>
      <c r="F207" s="48"/>
      <c r="G207" s="48"/>
      <c r="H207" s="48"/>
      <c r="I207" s="48"/>
      <c r="J207" s="48"/>
      <c r="K207" s="48"/>
      <c r="L207" s="48"/>
      <c r="M207" s="48"/>
      <c r="N207" s="48"/>
      <c r="O207" s="48"/>
      <c r="P207" s="48"/>
      <c r="Q207" s="48"/>
      <c r="R207" s="48"/>
      <c r="S207" s="48"/>
      <c r="T207" s="48"/>
      <c r="U207" s="48"/>
      <c r="V207" s="48"/>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row>
    <row r="208" spans="1:45">
      <c r="A208" s="48"/>
      <c r="B208" s="48"/>
      <c r="C208" s="48"/>
      <c r="D208" s="48"/>
      <c r="E208" s="48"/>
      <c r="F208" s="48"/>
      <c r="G208" s="48"/>
      <c r="H208" s="48"/>
      <c r="I208" s="48"/>
      <c r="J208" s="48"/>
      <c r="K208" s="48"/>
      <c r="L208" s="48"/>
      <c r="M208" s="48"/>
      <c r="N208" s="48"/>
      <c r="O208" s="48"/>
      <c r="P208" s="48"/>
      <c r="Q208" s="48"/>
      <c r="R208" s="48"/>
      <c r="S208" s="48"/>
      <c r="T208" s="48"/>
      <c r="U208" s="48"/>
      <c r="V208" s="48"/>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row>
    <row r="209" spans="1:45">
      <c r="A209" s="48"/>
      <c r="B209" s="48"/>
      <c r="C209" s="48"/>
      <c r="D209" s="48"/>
      <c r="E209" s="48"/>
      <c r="F209" s="48"/>
      <c r="G209" s="48"/>
      <c r="H209" s="48"/>
      <c r="I209" s="48"/>
      <c r="J209" s="48"/>
      <c r="K209" s="48"/>
      <c r="L209" s="48"/>
      <c r="M209" s="48"/>
      <c r="N209" s="48"/>
      <c r="O209" s="48"/>
      <c r="P209" s="48"/>
      <c r="Q209" s="48"/>
      <c r="R209" s="48"/>
      <c r="S209" s="48"/>
      <c r="T209" s="48"/>
      <c r="U209" s="48"/>
      <c r="V209" s="48"/>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row>
    <row r="210" spans="1:45">
      <c r="A210" s="48"/>
      <c r="B210" s="48"/>
      <c r="C210" s="48"/>
      <c r="D210" s="48"/>
      <c r="E210" s="48"/>
      <c r="F210" s="48"/>
      <c r="G210" s="48"/>
      <c r="H210" s="48"/>
      <c r="I210" s="48"/>
      <c r="J210" s="48"/>
      <c r="K210" s="48"/>
      <c r="L210" s="48"/>
      <c r="M210" s="48"/>
      <c r="N210" s="48"/>
      <c r="O210" s="48"/>
      <c r="P210" s="48"/>
      <c r="Q210" s="48"/>
      <c r="R210" s="48"/>
      <c r="S210" s="48"/>
      <c r="T210" s="48"/>
      <c r="U210" s="48"/>
      <c r="V210" s="48"/>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row>
    <row r="211" spans="1:45">
      <c r="A211" s="48"/>
      <c r="B211" s="48"/>
      <c r="C211" s="48"/>
      <c r="D211" s="48"/>
      <c r="E211" s="48"/>
      <c r="F211" s="48"/>
      <c r="G211" s="48"/>
      <c r="H211" s="48"/>
      <c r="I211" s="48"/>
      <c r="J211" s="48"/>
      <c r="K211" s="48"/>
      <c r="L211" s="48"/>
      <c r="M211" s="48"/>
      <c r="N211" s="48"/>
      <c r="O211" s="48"/>
      <c r="P211" s="48"/>
      <c r="Q211" s="48"/>
      <c r="R211" s="48"/>
      <c r="S211" s="48"/>
      <c r="T211" s="48"/>
      <c r="U211" s="48"/>
      <c r="V211" s="48"/>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row>
    <row r="212" spans="1:45">
      <c r="A212" s="48"/>
      <c r="B212" s="48"/>
      <c r="C212" s="48"/>
      <c r="D212" s="48"/>
      <c r="E212" s="48"/>
      <c r="F212" s="48"/>
      <c r="G212" s="48"/>
      <c r="H212" s="48"/>
      <c r="I212" s="48"/>
      <c r="J212" s="48"/>
      <c r="K212" s="48"/>
      <c r="L212" s="48"/>
      <c r="M212" s="48"/>
      <c r="N212" s="48"/>
      <c r="O212" s="48"/>
      <c r="P212" s="48"/>
      <c r="Q212" s="48"/>
      <c r="R212" s="48"/>
      <c r="S212" s="48"/>
      <c r="T212" s="48"/>
      <c r="U212" s="48"/>
      <c r="V212" s="48"/>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row>
    <row r="213" spans="1:45">
      <c r="A213" s="48"/>
      <c r="B213" s="48"/>
      <c r="C213" s="48"/>
      <c r="D213" s="48"/>
      <c r="E213" s="48"/>
      <c r="F213" s="48"/>
      <c r="G213" s="48"/>
      <c r="H213" s="48"/>
      <c r="I213" s="48"/>
      <c r="J213" s="48"/>
      <c r="K213" s="48"/>
      <c r="L213" s="48"/>
      <c r="M213" s="48"/>
      <c r="N213" s="48"/>
      <c r="O213" s="48"/>
      <c r="P213" s="48"/>
      <c r="Q213" s="48"/>
      <c r="R213" s="48"/>
      <c r="S213" s="48"/>
      <c r="T213" s="48"/>
      <c r="U213" s="48"/>
      <c r="V213" s="48"/>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row>
    <row r="214" spans="1:45">
      <c r="A214" s="48"/>
      <c r="B214" s="48"/>
      <c r="C214" s="48"/>
      <c r="D214" s="48"/>
      <c r="E214" s="48"/>
      <c r="F214" s="48"/>
      <c r="G214" s="48"/>
      <c r="H214" s="48"/>
      <c r="I214" s="48"/>
      <c r="J214" s="48"/>
      <c r="K214" s="48"/>
      <c r="L214" s="48"/>
      <c r="M214" s="48"/>
      <c r="N214" s="48"/>
      <c r="O214" s="48"/>
      <c r="P214" s="48"/>
      <c r="Q214" s="48"/>
      <c r="R214" s="48"/>
      <c r="S214" s="48"/>
      <c r="T214" s="48"/>
      <c r="U214" s="48"/>
      <c r="V214" s="48"/>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row>
    <row r="215" spans="1:45">
      <c r="A215" s="48"/>
      <c r="B215" s="48"/>
      <c r="C215" s="48"/>
      <c r="D215" s="48"/>
      <c r="E215" s="48"/>
      <c r="F215" s="48"/>
      <c r="G215" s="48"/>
      <c r="H215" s="48"/>
      <c r="I215" s="48"/>
      <c r="J215" s="48"/>
      <c r="K215" s="48"/>
      <c r="L215" s="48"/>
      <c r="M215" s="48"/>
      <c r="N215" s="48"/>
      <c r="O215" s="48"/>
      <c r="P215" s="48"/>
      <c r="Q215" s="48"/>
      <c r="R215" s="48"/>
      <c r="S215" s="48"/>
      <c r="T215" s="48"/>
      <c r="U215" s="48"/>
      <c r="V215" s="48"/>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row>
    <row r="216" spans="1:45">
      <c r="A216" s="48"/>
      <c r="B216" s="48"/>
      <c r="C216" s="48"/>
      <c r="D216" s="48"/>
      <c r="E216" s="48"/>
      <c r="F216" s="48"/>
      <c r="G216" s="48"/>
      <c r="H216" s="48"/>
      <c r="I216" s="48"/>
      <c r="J216" s="48"/>
      <c r="K216" s="48"/>
      <c r="L216" s="48"/>
      <c r="M216" s="48"/>
      <c r="N216" s="48"/>
      <c r="O216" s="48"/>
      <c r="P216" s="48"/>
      <c r="Q216" s="48"/>
      <c r="R216" s="48"/>
      <c r="S216" s="48"/>
      <c r="T216" s="48"/>
      <c r="U216" s="48"/>
      <c r="V216" s="48"/>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row>
    <row r="217" spans="1:45">
      <c r="A217" s="48"/>
      <c r="B217" s="48"/>
      <c r="C217" s="48"/>
      <c r="D217" s="48"/>
      <c r="E217" s="48"/>
      <c r="F217" s="48"/>
      <c r="G217" s="48"/>
      <c r="H217" s="48"/>
      <c r="I217" s="48"/>
      <c r="J217" s="48"/>
      <c r="K217" s="48"/>
      <c r="L217" s="48"/>
      <c r="M217" s="48"/>
      <c r="N217" s="48"/>
      <c r="O217" s="48"/>
      <c r="P217" s="48"/>
      <c r="Q217" s="48"/>
      <c r="R217" s="48"/>
      <c r="S217" s="48"/>
      <c r="T217" s="48"/>
      <c r="U217" s="48"/>
      <c r="V217" s="48"/>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row>
    <row r="218" spans="1:45">
      <c r="A218" s="48"/>
      <c r="B218" s="48"/>
      <c r="C218" s="48"/>
      <c r="D218" s="48"/>
      <c r="E218" s="48"/>
      <c r="F218" s="48"/>
      <c r="G218" s="48"/>
      <c r="H218" s="48"/>
      <c r="I218" s="48"/>
      <c r="J218" s="48"/>
      <c r="K218" s="48"/>
      <c r="L218" s="48"/>
      <c r="M218" s="48"/>
      <c r="N218" s="48"/>
      <c r="O218" s="48"/>
      <c r="P218" s="48"/>
      <c r="Q218" s="48"/>
      <c r="R218" s="48"/>
      <c r="S218" s="48"/>
      <c r="T218" s="48"/>
      <c r="U218" s="48"/>
      <c r="V218" s="48"/>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row>
    <row r="219" spans="1:45">
      <c r="A219" s="48"/>
      <c r="B219" s="48"/>
      <c r="C219" s="48"/>
      <c r="D219" s="48"/>
      <c r="E219" s="48"/>
      <c r="F219" s="48"/>
      <c r="G219" s="48"/>
      <c r="H219" s="48"/>
      <c r="I219" s="48"/>
      <c r="J219" s="48"/>
      <c r="K219" s="48"/>
      <c r="L219" s="48"/>
      <c r="M219" s="48"/>
      <c r="N219" s="48"/>
      <c r="O219" s="48"/>
      <c r="P219" s="48"/>
      <c r="Q219" s="48"/>
      <c r="R219" s="48"/>
      <c r="S219" s="48"/>
      <c r="T219" s="48"/>
      <c r="U219" s="48"/>
      <c r="V219" s="48"/>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row>
    <row r="220" spans="1:45">
      <c r="A220" s="48"/>
      <c r="B220" s="48"/>
      <c r="C220" s="48"/>
      <c r="D220" s="48"/>
      <c r="E220" s="48"/>
      <c r="F220" s="48"/>
      <c r="G220" s="48"/>
      <c r="H220" s="48"/>
      <c r="I220" s="48"/>
      <c r="J220" s="48"/>
      <c r="K220" s="48"/>
      <c r="L220" s="48"/>
      <c r="M220" s="48"/>
      <c r="N220" s="48"/>
      <c r="O220" s="48"/>
      <c r="P220" s="48"/>
      <c r="Q220" s="48"/>
      <c r="R220" s="48"/>
      <c r="S220" s="48"/>
      <c r="T220" s="48"/>
      <c r="U220" s="48"/>
      <c r="V220" s="48"/>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row>
    <row r="221" spans="1:45">
      <c r="A221" s="48"/>
      <c r="B221" s="48"/>
      <c r="C221" s="48"/>
      <c r="D221" s="48"/>
      <c r="E221" s="48"/>
      <c r="F221" s="48"/>
      <c r="G221" s="48"/>
      <c r="H221" s="48"/>
      <c r="I221" s="48"/>
      <c r="J221" s="48"/>
      <c r="K221" s="48"/>
      <c r="L221" s="48"/>
      <c r="M221" s="48"/>
      <c r="N221" s="48"/>
      <c r="O221" s="48"/>
      <c r="P221" s="48"/>
      <c r="Q221" s="48"/>
      <c r="R221" s="48"/>
      <c r="S221" s="48"/>
      <c r="T221" s="48"/>
      <c r="U221" s="48"/>
      <c r="V221" s="48"/>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row>
    <row r="222" spans="1:45">
      <c r="A222" s="48"/>
      <c r="B222" s="48"/>
      <c r="C222" s="48"/>
      <c r="D222" s="48"/>
      <c r="E222" s="48"/>
      <c r="F222" s="48"/>
      <c r="G222" s="48"/>
      <c r="H222" s="48"/>
      <c r="I222" s="48"/>
      <c r="J222" s="48"/>
      <c r="K222" s="48"/>
      <c r="L222" s="48"/>
      <c r="M222" s="48"/>
      <c r="N222" s="48"/>
      <c r="O222" s="48"/>
      <c r="P222" s="48"/>
      <c r="Q222" s="48"/>
      <c r="R222" s="48"/>
      <c r="S222" s="48"/>
      <c r="T222" s="48"/>
      <c r="U222" s="48"/>
      <c r="V222" s="48"/>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row>
    <row r="223" spans="1:45">
      <c r="A223" s="48"/>
      <c r="B223" s="48"/>
      <c r="C223" s="48"/>
      <c r="D223" s="48"/>
      <c r="E223" s="48"/>
      <c r="F223" s="48"/>
      <c r="G223" s="48"/>
      <c r="H223" s="48"/>
      <c r="I223" s="48"/>
      <c r="J223" s="48"/>
      <c r="K223" s="48"/>
      <c r="L223" s="48"/>
      <c r="M223" s="48"/>
      <c r="N223" s="48"/>
      <c r="O223" s="48"/>
      <c r="P223" s="48"/>
      <c r="Q223" s="48"/>
      <c r="R223" s="48"/>
      <c r="S223" s="48"/>
      <c r="T223" s="48"/>
      <c r="U223" s="48"/>
      <c r="V223" s="48"/>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row>
    <row r="224" spans="1:45">
      <c r="A224" s="48"/>
      <c r="B224" s="48"/>
      <c r="C224" s="48"/>
      <c r="D224" s="48"/>
      <c r="E224" s="48"/>
      <c r="F224" s="48"/>
      <c r="G224" s="48"/>
      <c r="H224" s="48"/>
      <c r="I224" s="48"/>
      <c r="J224" s="48"/>
      <c r="K224" s="48"/>
      <c r="L224" s="48"/>
      <c r="M224" s="48"/>
      <c r="N224" s="48"/>
      <c r="O224" s="48"/>
      <c r="P224" s="48"/>
      <c r="Q224" s="48"/>
      <c r="R224" s="48"/>
      <c r="S224" s="48"/>
      <c r="T224" s="48"/>
      <c r="U224" s="48"/>
      <c r="V224" s="48"/>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row>
    <row r="225" spans="1:45">
      <c r="A225" s="48"/>
      <c r="B225" s="48"/>
      <c r="C225" s="48"/>
      <c r="D225" s="48"/>
      <c r="E225" s="48"/>
      <c r="F225" s="48"/>
      <c r="G225" s="48"/>
      <c r="H225" s="48"/>
      <c r="I225" s="48"/>
      <c r="J225" s="48"/>
      <c r="K225" s="48"/>
      <c r="L225" s="48"/>
      <c r="M225" s="48"/>
      <c r="N225" s="48"/>
      <c r="O225" s="48"/>
      <c r="P225" s="48"/>
      <c r="Q225" s="48"/>
      <c r="R225" s="48"/>
      <c r="S225" s="48"/>
      <c r="T225" s="48"/>
      <c r="U225" s="48"/>
      <c r="V225" s="48"/>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row>
    <row r="226" spans="1:45">
      <c r="A226" s="48"/>
      <c r="B226" s="48"/>
      <c r="C226" s="48"/>
      <c r="D226" s="48"/>
      <c r="E226" s="48"/>
      <c r="F226" s="48"/>
      <c r="G226" s="48"/>
      <c r="H226" s="48"/>
      <c r="I226" s="48"/>
      <c r="J226" s="48"/>
      <c r="K226" s="48"/>
      <c r="L226" s="48"/>
      <c r="M226" s="48"/>
      <c r="N226" s="48"/>
      <c r="O226" s="48"/>
      <c r="P226" s="48"/>
      <c r="Q226" s="48"/>
      <c r="R226" s="48"/>
      <c r="S226" s="48"/>
      <c r="T226" s="48"/>
      <c r="U226" s="48"/>
      <c r="V226" s="48"/>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row>
    <row r="227" spans="1:45">
      <c r="A227" s="48"/>
      <c r="B227" s="48"/>
      <c r="C227" s="48"/>
      <c r="D227" s="48"/>
      <c r="E227" s="48"/>
      <c r="F227" s="48"/>
      <c r="G227" s="48"/>
      <c r="H227" s="48"/>
      <c r="I227" s="48"/>
      <c r="J227" s="48"/>
      <c r="K227" s="48"/>
      <c r="L227" s="48"/>
      <c r="M227" s="48"/>
      <c r="N227" s="48"/>
      <c r="O227" s="48"/>
      <c r="P227" s="48"/>
      <c r="Q227" s="48"/>
      <c r="R227" s="48"/>
      <c r="S227" s="48"/>
      <c r="T227" s="48"/>
      <c r="U227" s="48"/>
      <c r="V227" s="48"/>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row>
    <row r="228" spans="1:45">
      <c r="A228" s="48"/>
      <c r="B228" s="48"/>
      <c r="C228" s="48"/>
      <c r="D228" s="48"/>
      <c r="E228" s="48"/>
      <c r="F228" s="48"/>
      <c r="G228" s="48"/>
      <c r="H228" s="48"/>
      <c r="I228" s="48"/>
      <c r="J228" s="48"/>
      <c r="K228" s="48"/>
      <c r="L228" s="48"/>
      <c r="M228" s="48"/>
      <c r="N228" s="48"/>
      <c r="O228" s="48"/>
      <c r="P228" s="48"/>
      <c r="Q228" s="48"/>
      <c r="R228" s="48"/>
      <c r="S228" s="48"/>
      <c r="T228" s="48"/>
      <c r="U228" s="48"/>
      <c r="V228" s="48"/>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row>
    <row r="229" spans="1:45">
      <c r="A229" s="48"/>
      <c r="B229" s="48"/>
      <c r="C229" s="48"/>
      <c r="D229" s="48"/>
      <c r="E229" s="48"/>
      <c r="F229" s="48"/>
      <c r="G229" s="48"/>
      <c r="H229" s="48"/>
      <c r="I229" s="48"/>
      <c r="J229" s="48"/>
      <c r="K229" s="48"/>
      <c r="L229" s="48"/>
      <c r="M229" s="48"/>
      <c r="N229" s="48"/>
      <c r="O229" s="48"/>
      <c r="P229" s="48"/>
      <c r="Q229" s="48"/>
      <c r="R229" s="48"/>
      <c r="S229" s="48"/>
      <c r="T229" s="48"/>
      <c r="U229" s="48"/>
      <c r="V229" s="48"/>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row>
    <row r="230" spans="1:45">
      <c r="A230" s="48"/>
      <c r="B230" s="48"/>
      <c r="C230" s="48"/>
      <c r="D230" s="48"/>
      <c r="E230" s="48"/>
      <c r="F230" s="48"/>
      <c r="G230" s="48"/>
      <c r="H230" s="48"/>
      <c r="I230" s="48"/>
      <c r="J230" s="48"/>
      <c r="K230" s="48"/>
      <c r="L230" s="48"/>
      <c r="M230" s="48"/>
      <c r="N230" s="48"/>
      <c r="O230" s="48"/>
      <c r="P230" s="48"/>
      <c r="Q230" s="48"/>
      <c r="R230" s="48"/>
      <c r="S230" s="48"/>
      <c r="T230" s="48"/>
      <c r="U230" s="48"/>
      <c r="V230" s="48"/>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row>
    <row r="231" spans="1:45">
      <c r="A231" s="48"/>
      <c r="B231" s="48"/>
      <c r="C231" s="48"/>
      <c r="D231" s="48"/>
      <c r="E231" s="48"/>
      <c r="F231" s="48"/>
      <c r="G231" s="48"/>
      <c r="H231" s="48"/>
      <c r="I231" s="48"/>
      <c r="J231" s="48"/>
      <c r="K231" s="48"/>
      <c r="L231" s="48"/>
      <c r="M231" s="48"/>
      <c r="N231" s="48"/>
      <c r="O231" s="48"/>
      <c r="P231" s="48"/>
      <c r="Q231" s="48"/>
      <c r="R231" s="48"/>
      <c r="S231" s="48"/>
      <c r="T231" s="48"/>
      <c r="U231" s="48"/>
      <c r="V231" s="48"/>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row>
    <row r="232" spans="1:45">
      <c r="A232" s="48"/>
      <c r="B232" s="48"/>
      <c r="C232" s="48"/>
      <c r="D232" s="48"/>
      <c r="E232" s="48"/>
      <c r="F232" s="48"/>
      <c r="G232" s="48"/>
      <c r="H232" s="48"/>
      <c r="I232" s="48"/>
      <c r="J232" s="48"/>
      <c r="K232" s="48"/>
      <c r="L232" s="48"/>
      <c r="M232" s="48"/>
      <c r="N232" s="48"/>
      <c r="O232" s="48"/>
      <c r="P232" s="48"/>
      <c r="Q232" s="48"/>
      <c r="R232" s="48"/>
      <c r="S232" s="48"/>
      <c r="T232" s="48"/>
      <c r="U232" s="48"/>
      <c r="V232" s="48"/>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row>
    <row r="233" spans="1:45">
      <c r="A233" s="48"/>
      <c r="B233" s="48"/>
      <c r="C233" s="48"/>
      <c r="D233" s="48"/>
      <c r="E233" s="48"/>
      <c r="F233" s="48"/>
      <c r="G233" s="48"/>
      <c r="H233" s="48"/>
      <c r="I233" s="48"/>
      <c r="J233" s="48"/>
      <c r="K233" s="48"/>
      <c r="L233" s="48"/>
      <c r="M233" s="48"/>
      <c r="N233" s="48"/>
      <c r="O233" s="48"/>
      <c r="P233" s="48"/>
      <c r="Q233" s="48"/>
      <c r="R233" s="48"/>
      <c r="S233" s="48"/>
      <c r="T233" s="48"/>
      <c r="U233" s="48"/>
      <c r="V233" s="48"/>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row>
    <row r="234" spans="1:45">
      <c r="A234" s="48"/>
      <c r="B234" s="48"/>
      <c r="C234" s="48"/>
      <c r="D234" s="48"/>
      <c r="E234" s="48"/>
      <c r="F234" s="48"/>
      <c r="G234" s="48"/>
      <c r="H234" s="48"/>
      <c r="I234" s="48"/>
      <c r="J234" s="48"/>
      <c r="K234" s="48"/>
      <c r="L234" s="48"/>
      <c r="M234" s="48"/>
      <c r="N234" s="48"/>
      <c r="O234" s="48"/>
      <c r="P234" s="48"/>
      <c r="Q234" s="48"/>
      <c r="R234" s="48"/>
      <c r="S234" s="48"/>
      <c r="T234" s="48"/>
      <c r="U234" s="48"/>
      <c r="V234" s="48"/>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row>
    <row r="235" spans="1:45">
      <c r="A235" s="48"/>
      <c r="B235" s="48"/>
      <c r="C235" s="48"/>
      <c r="D235" s="48"/>
      <c r="E235" s="48"/>
      <c r="F235" s="48"/>
      <c r="G235" s="48"/>
      <c r="H235" s="48"/>
      <c r="I235" s="48"/>
      <c r="J235" s="48"/>
      <c r="K235" s="48"/>
      <c r="L235" s="48"/>
      <c r="M235" s="48"/>
      <c r="N235" s="48"/>
      <c r="O235" s="48"/>
      <c r="P235" s="48"/>
      <c r="Q235" s="48"/>
      <c r="R235" s="48"/>
      <c r="S235" s="48"/>
      <c r="T235" s="48"/>
      <c r="U235" s="48"/>
      <c r="V235" s="48"/>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row>
    <row r="236" spans="1:45">
      <c r="A236" s="48"/>
      <c r="B236" s="48"/>
      <c r="C236" s="48"/>
      <c r="D236" s="48"/>
      <c r="E236" s="48"/>
      <c r="F236" s="48"/>
      <c r="G236" s="48"/>
      <c r="H236" s="48"/>
      <c r="I236" s="48"/>
      <c r="J236" s="48"/>
      <c r="K236" s="48"/>
      <c r="L236" s="48"/>
      <c r="M236" s="48"/>
      <c r="N236" s="48"/>
      <c r="O236" s="48"/>
      <c r="P236" s="48"/>
      <c r="Q236" s="48"/>
      <c r="R236" s="48"/>
      <c r="S236" s="48"/>
      <c r="T236" s="48"/>
      <c r="U236" s="48"/>
      <c r="V236" s="48"/>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row>
    <row r="237" spans="1:45">
      <c r="A237" s="48"/>
      <c r="B237" s="48"/>
      <c r="C237" s="48"/>
      <c r="D237" s="48"/>
      <c r="E237" s="48"/>
      <c r="F237" s="48"/>
      <c r="G237" s="48"/>
      <c r="H237" s="48"/>
      <c r="I237" s="48"/>
      <c r="J237" s="48"/>
      <c r="K237" s="48"/>
      <c r="L237" s="48"/>
      <c r="M237" s="48"/>
      <c r="N237" s="48"/>
      <c r="O237" s="48"/>
      <c r="P237" s="48"/>
      <c r="Q237" s="48"/>
      <c r="R237" s="48"/>
      <c r="S237" s="48"/>
      <c r="T237" s="48"/>
      <c r="U237" s="48"/>
      <c r="V237" s="48"/>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row>
    <row r="238" spans="1:45">
      <c r="A238" s="48"/>
      <c r="B238" s="48"/>
      <c r="C238" s="48"/>
      <c r="D238" s="48"/>
      <c r="E238" s="48"/>
      <c r="F238" s="48"/>
      <c r="G238" s="48"/>
      <c r="H238" s="48"/>
      <c r="I238" s="48"/>
      <c r="J238" s="48"/>
      <c r="K238" s="48"/>
      <c r="L238" s="48"/>
      <c r="M238" s="48"/>
      <c r="N238" s="48"/>
      <c r="O238" s="48"/>
      <c r="P238" s="48"/>
      <c r="Q238" s="48"/>
      <c r="R238" s="48"/>
      <c r="S238" s="48"/>
      <c r="T238" s="48"/>
      <c r="U238" s="48"/>
      <c r="V238" s="48"/>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row>
    <row r="239" spans="1:45">
      <c r="A239" s="48"/>
      <c r="B239" s="48"/>
      <c r="C239" s="48"/>
      <c r="D239" s="48"/>
      <c r="E239" s="48"/>
      <c r="F239" s="48"/>
      <c r="G239" s="48"/>
      <c r="H239" s="48"/>
      <c r="I239" s="48"/>
      <c r="J239" s="48"/>
      <c r="K239" s="48"/>
      <c r="L239" s="48"/>
      <c r="M239" s="48"/>
      <c r="N239" s="48"/>
      <c r="O239" s="48"/>
      <c r="P239" s="48"/>
      <c r="Q239" s="48"/>
      <c r="R239" s="48"/>
      <c r="S239" s="48"/>
      <c r="T239" s="48"/>
      <c r="U239" s="48"/>
      <c r="V239" s="48"/>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row>
    <row r="240" spans="1:45">
      <c r="A240" s="48"/>
      <c r="B240" s="48"/>
      <c r="C240" s="48"/>
      <c r="D240" s="48"/>
      <c r="E240" s="48"/>
      <c r="F240" s="48"/>
      <c r="G240" s="48"/>
      <c r="H240" s="48"/>
      <c r="I240" s="48"/>
      <c r="J240" s="48"/>
      <c r="K240" s="48"/>
      <c r="L240" s="48"/>
      <c r="M240" s="48"/>
      <c r="N240" s="48"/>
      <c r="O240" s="48"/>
      <c r="P240" s="48"/>
      <c r="Q240" s="48"/>
      <c r="R240" s="48"/>
      <c r="S240" s="48"/>
      <c r="T240" s="48"/>
      <c r="U240" s="48"/>
      <c r="V240" s="48"/>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row>
    <row r="241" spans="1:45">
      <c r="A241" s="48"/>
      <c r="B241" s="48"/>
      <c r="C241" s="48"/>
      <c r="D241" s="48"/>
      <c r="E241" s="48"/>
      <c r="F241" s="48"/>
      <c r="G241" s="48"/>
      <c r="H241" s="48"/>
      <c r="I241" s="48"/>
      <c r="J241" s="48"/>
      <c r="K241" s="48"/>
      <c r="L241" s="48"/>
      <c r="M241" s="48"/>
      <c r="N241" s="48"/>
      <c r="O241" s="48"/>
      <c r="P241" s="48"/>
      <c r="Q241" s="48"/>
      <c r="R241" s="48"/>
      <c r="S241" s="48"/>
      <c r="T241" s="48"/>
      <c r="U241" s="48"/>
      <c r="V241" s="48"/>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row>
    <row r="242" spans="1:45">
      <c r="A242" s="48"/>
      <c r="B242" s="48"/>
      <c r="C242" s="48"/>
      <c r="D242" s="48"/>
      <c r="E242" s="48"/>
      <c r="F242" s="48"/>
      <c r="G242" s="48"/>
      <c r="H242" s="48"/>
      <c r="I242" s="48"/>
      <c r="J242" s="48"/>
      <c r="K242" s="48"/>
      <c r="L242" s="48"/>
      <c r="M242" s="48"/>
      <c r="N242" s="48"/>
      <c r="O242" s="48"/>
      <c r="P242" s="48"/>
      <c r="Q242" s="48"/>
      <c r="R242" s="48"/>
      <c r="S242" s="48"/>
      <c r="T242" s="48"/>
      <c r="U242" s="48"/>
      <c r="V242" s="48"/>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row>
    <row r="243" spans="1:45">
      <c r="A243" s="48"/>
      <c r="B243" s="48"/>
      <c r="C243" s="48"/>
      <c r="D243" s="48"/>
      <c r="E243" s="48"/>
      <c r="F243" s="48"/>
      <c r="G243" s="48"/>
      <c r="H243" s="48"/>
      <c r="I243" s="48"/>
      <c r="J243" s="48"/>
      <c r="K243" s="48"/>
      <c r="L243" s="48"/>
      <c r="M243" s="48"/>
      <c r="N243" s="48"/>
      <c r="O243" s="48"/>
      <c r="P243" s="48"/>
      <c r="Q243" s="48"/>
      <c r="R243" s="48"/>
      <c r="S243" s="48"/>
      <c r="T243" s="48"/>
      <c r="U243" s="48"/>
      <c r="V243" s="48"/>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row>
    <row r="244" spans="1:45">
      <c r="A244" s="48"/>
      <c r="B244" s="48"/>
      <c r="C244" s="48"/>
      <c r="D244" s="48"/>
      <c r="E244" s="48"/>
      <c r="F244" s="48"/>
      <c r="G244" s="48"/>
      <c r="H244" s="48"/>
      <c r="I244" s="48"/>
      <c r="J244" s="48"/>
      <c r="K244" s="48"/>
      <c r="L244" s="48"/>
      <c r="M244" s="48"/>
      <c r="N244" s="48"/>
      <c r="O244" s="48"/>
      <c r="P244" s="48"/>
      <c r="Q244" s="48"/>
      <c r="R244" s="48"/>
      <c r="S244" s="48"/>
      <c r="T244" s="48"/>
      <c r="U244" s="48"/>
      <c r="V244" s="48"/>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row>
    <row r="245" spans="1:45">
      <c r="A245" s="48"/>
      <c r="B245" s="48"/>
      <c r="C245" s="48"/>
      <c r="D245" s="48"/>
      <c r="E245" s="48"/>
      <c r="F245" s="48"/>
      <c r="G245" s="48"/>
      <c r="H245" s="48"/>
      <c r="I245" s="48"/>
      <c r="J245" s="48"/>
      <c r="K245" s="48"/>
      <c r="L245" s="48"/>
      <c r="M245" s="48"/>
      <c r="N245" s="48"/>
      <c r="O245" s="48"/>
      <c r="P245" s="48"/>
      <c r="Q245" s="48"/>
      <c r="R245" s="48"/>
      <c r="S245" s="48"/>
      <c r="T245" s="48"/>
      <c r="U245" s="48"/>
      <c r="V245" s="48"/>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row>
    <row r="246" spans="1:45">
      <c r="A246" s="48"/>
      <c r="B246" s="48"/>
      <c r="C246" s="48"/>
      <c r="D246" s="48"/>
      <c r="E246" s="48"/>
      <c r="F246" s="48"/>
      <c r="G246" s="48"/>
      <c r="H246" s="48"/>
      <c r="I246" s="48"/>
      <c r="J246" s="48"/>
      <c r="K246" s="48"/>
      <c r="L246" s="48"/>
      <c r="M246" s="48"/>
      <c r="N246" s="48"/>
      <c r="O246" s="48"/>
      <c r="P246" s="48"/>
      <c r="Q246" s="48"/>
      <c r="R246" s="48"/>
      <c r="S246" s="48"/>
      <c r="T246" s="48"/>
      <c r="U246" s="48"/>
      <c r="V246" s="48"/>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row>
    <row r="247" spans="1:45">
      <c r="A247" s="48"/>
      <c r="B247" s="48"/>
      <c r="C247" s="48"/>
      <c r="D247" s="48"/>
      <c r="E247" s="48"/>
      <c r="F247" s="48"/>
      <c r="G247" s="48"/>
      <c r="H247" s="48"/>
      <c r="I247" s="48"/>
      <c r="J247" s="48"/>
      <c r="K247" s="48"/>
      <c r="L247" s="48"/>
      <c r="M247" s="48"/>
      <c r="N247" s="48"/>
      <c r="O247" s="48"/>
      <c r="P247" s="48"/>
      <c r="Q247" s="48"/>
      <c r="R247" s="48"/>
      <c r="S247" s="48"/>
      <c r="T247" s="48"/>
      <c r="U247" s="48"/>
      <c r="V247" s="48"/>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row>
    <row r="248" spans="1:45">
      <c r="A248" s="48"/>
      <c r="B248" s="48"/>
      <c r="C248" s="48"/>
      <c r="D248" s="48"/>
      <c r="E248" s="48"/>
      <c r="F248" s="48"/>
      <c r="G248" s="48"/>
      <c r="H248" s="48"/>
      <c r="I248" s="48"/>
      <c r="J248" s="48"/>
      <c r="K248" s="48"/>
      <c r="L248" s="48"/>
      <c r="M248" s="48"/>
      <c r="N248" s="48"/>
      <c r="O248" s="48"/>
      <c r="P248" s="48"/>
      <c r="Q248" s="48"/>
      <c r="R248" s="48"/>
      <c r="S248" s="48"/>
      <c r="T248" s="48"/>
      <c r="U248" s="48"/>
      <c r="V248" s="48"/>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row>
    <row r="249" spans="1:45">
      <c r="A249" s="48"/>
      <c r="B249" s="48"/>
      <c r="C249" s="48"/>
      <c r="D249" s="48"/>
      <c r="E249" s="48"/>
      <c r="F249" s="48"/>
      <c r="G249" s="48"/>
      <c r="H249" s="48"/>
      <c r="I249" s="48"/>
      <c r="J249" s="48"/>
      <c r="K249" s="48"/>
      <c r="L249" s="48"/>
      <c r="M249" s="48"/>
      <c r="N249" s="48"/>
      <c r="O249" s="48"/>
      <c r="P249" s="48"/>
      <c r="Q249" s="48"/>
      <c r="R249" s="48"/>
      <c r="S249" s="48"/>
      <c r="T249" s="48"/>
      <c r="U249" s="48"/>
      <c r="V249" s="48"/>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row>
    <row r="250" spans="1:45">
      <c r="A250" s="48"/>
      <c r="B250" s="48"/>
      <c r="C250" s="48"/>
      <c r="D250" s="48"/>
      <c r="E250" s="48"/>
      <c r="F250" s="48"/>
      <c r="G250" s="48"/>
      <c r="H250" s="48"/>
      <c r="I250" s="48"/>
      <c r="J250" s="48"/>
      <c r="K250" s="48"/>
      <c r="L250" s="48"/>
      <c r="M250" s="48"/>
      <c r="N250" s="48"/>
      <c r="O250" s="48"/>
      <c r="P250" s="48"/>
      <c r="Q250" s="48"/>
      <c r="R250" s="48"/>
      <c r="S250" s="48"/>
      <c r="T250" s="48"/>
      <c r="U250" s="48"/>
      <c r="V250" s="48"/>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row>
    <row r="251" spans="1:45">
      <c r="A251" s="48"/>
      <c r="B251" s="48"/>
      <c r="C251" s="48"/>
      <c r="D251" s="48"/>
      <c r="E251" s="48"/>
      <c r="F251" s="48"/>
      <c r="G251" s="48"/>
      <c r="H251" s="48"/>
      <c r="I251" s="48"/>
      <c r="J251" s="48"/>
      <c r="K251" s="48"/>
      <c r="L251" s="48"/>
      <c r="M251" s="48"/>
      <c r="N251" s="48"/>
      <c r="O251" s="48"/>
      <c r="P251" s="48"/>
      <c r="Q251" s="48"/>
      <c r="R251" s="48"/>
      <c r="S251" s="48"/>
      <c r="T251" s="48"/>
      <c r="U251" s="48"/>
      <c r="V251" s="48"/>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row>
    <row r="252" spans="1:45">
      <c r="A252" s="48"/>
      <c r="B252" s="48"/>
      <c r="C252" s="48"/>
      <c r="D252" s="48"/>
      <c r="E252" s="48"/>
      <c r="F252" s="48"/>
      <c r="G252" s="48"/>
      <c r="H252" s="48"/>
      <c r="I252" s="48"/>
      <c r="J252" s="48"/>
      <c r="K252" s="48"/>
      <c r="L252" s="48"/>
      <c r="M252" s="48"/>
      <c r="N252" s="48"/>
      <c r="O252" s="48"/>
      <c r="P252" s="48"/>
      <c r="Q252" s="48"/>
      <c r="R252" s="48"/>
      <c r="S252" s="48"/>
      <c r="T252" s="48"/>
      <c r="U252" s="48"/>
      <c r="V252" s="48"/>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row>
    <row r="253" spans="1:45">
      <c r="A253" s="48"/>
      <c r="B253" s="48"/>
      <c r="C253" s="48"/>
      <c r="D253" s="48"/>
      <c r="E253" s="48"/>
      <c r="F253" s="48"/>
      <c r="G253" s="48"/>
      <c r="H253" s="48"/>
      <c r="I253" s="48"/>
      <c r="J253" s="48"/>
      <c r="K253" s="48"/>
      <c r="L253" s="48"/>
      <c r="M253" s="48"/>
      <c r="N253" s="48"/>
      <c r="O253" s="48"/>
      <c r="P253" s="48"/>
      <c r="Q253" s="48"/>
      <c r="R253" s="48"/>
      <c r="S253" s="48"/>
      <c r="T253" s="48"/>
      <c r="U253" s="48"/>
      <c r="V253" s="48"/>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row>
    <row r="254" spans="1:45">
      <c r="A254" s="48"/>
      <c r="B254" s="48"/>
      <c r="C254" s="48"/>
      <c r="D254" s="48"/>
      <c r="E254" s="48"/>
      <c r="F254" s="48"/>
      <c r="G254" s="48"/>
      <c r="H254" s="48"/>
      <c r="I254" s="48"/>
      <c r="J254" s="48"/>
      <c r="K254" s="48"/>
      <c r="L254" s="48"/>
      <c r="M254" s="48"/>
      <c r="N254" s="48"/>
      <c r="O254" s="48"/>
      <c r="P254" s="48"/>
      <c r="Q254" s="48"/>
      <c r="R254" s="48"/>
      <c r="S254" s="48"/>
      <c r="T254" s="48"/>
      <c r="U254" s="48"/>
      <c r="V254" s="48"/>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row>
    <row r="255" spans="1:45">
      <c r="A255" s="48"/>
      <c r="B255" s="48"/>
      <c r="C255" s="48"/>
      <c r="D255" s="48"/>
      <c r="E255" s="48"/>
      <c r="F255" s="48"/>
      <c r="G255" s="48"/>
      <c r="H255" s="48"/>
      <c r="I255" s="48"/>
      <c r="J255" s="48"/>
      <c r="K255" s="48"/>
      <c r="L255" s="48"/>
      <c r="M255" s="48"/>
      <c r="N255" s="48"/>
      <c r="O255" s="48"/>
      <c r="P255" s="48"/>
      <c r="Q255" s="48"/>
      <c r="R255" s="48"/>
      <c r="S255" s="48"/>
      <c r="T255" s="48"/>
      <c r="U255" s="48"/>
      <c r="V255" s="48"/>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row>
    <row r="256" spans="1:45">
      <c r="A256" s="48"/>
      <c r="B256" s="48"/>
      <c r="C256" s="48"/>
      <c r="D256" s="48"/>
      <c r="E256" s="48"/>
      <c r="F256" s="48"/>
      <c r="G256" s="48"/>
      <c r="H256" s="48"/>
      <c r="I256" s="48"/>
      <c r="J256" s="48"/>
      <c r="K256" s="48"/>
      <c r="L256" s="48"/>
      <c r="M256" s="48"/>
      <c r="N256" s="48"/>
      <c r="O256" s="48"/>
      <c r="P256" s="48"/>
      <c r="Q256" s="48"/>
      <c r="R256" s="48"/>
      <c r="S256" s="48"/>
      <c r="T256" s="48"/>
      <c r="U256" s="48"/>
      <c r="V256" s="48"/>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row>
    <row r="257" spans="1:45">
      <c r="A257" s="48"/>
      <c r="B257" s="48"/>
      <c r="C257" s="48"/>
      <c r="D257" s="48"/>
      <c r="E257" s="48"/>
      <c r="F257" s="48"/>
      <c r="G257" s="48"/>
      <c r="H257" s="48"/>
      <c r="I257" s="48"/>
      <c r="J257" s="48"/>
      <c r="K257" s="48"/>
      <c r="L257" s="48"/>
      <c r="M257" s="48"/>
      <c r="N257" s="48"/>
      <c r="O257" s="48"/>
      <c r="P257" s="48"/>
      <c r="Q257" s="48"/>
      <c r="R257" s="48"/>
      <c r="S257" s="48"/>
      <c r="T257" s="48"/>
      <c r="U257" s="48"/>
      <c r="V257" s="48"/>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row>
    <row r="258" spans="1:45">
      <c r="A258" s="48"/>
      <c r="B258" s="48"/>
      <c r="C258" s="48"/>
      <c r="D258" s="48"/>
      <c r="E258" s="48"/>
      <c r="F258" s="48"/>
      <c r="G258" s="48"/>
      <c r="H258" s="48"/>
      <c r="I258" s="48"/>
      <c r="J258" s="48"/>
      <c r="K258" s="48"/>
      <c r="L258" s="48"/>
      <c r="M258" s="48"/>
      <c r="N258" s="48"/>
      <c r="O258" s="48"/>
      <c r="P258" s="48"/>
      <c r="Q258" s="48"/>
      <c r="R258" s="48"/>
      <c r="S258" s="48"/>
      <c r="T258" s="48"/>
      <c r="U258" s="48"/>
      <c r="V258" s="48"/>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row>
    <row r="259" spans="1:45">
      <c r="A259" s="48"/>
      <c r="B259" s="48"/>
      <c r="C259" s="48"/>
      <c r="D259" s="48"/>
      <c r="E259" s="48"/>
      <c r="F259" s="48"/>
      <c r="G259" s="48"/>
      <c r="H259" s="48"/>
      <c r="I259" s="48"/>
      <c r="J259" s="48"/>
      <c r="K259" s="48"/>
      <c r="L259" s="48"/>
      <c r="M259" s="48"/>
      <c r="N259" s="48"/>
      <c r="O259" s="48"/>
      <c r="P259" s="48"/>
      <c r="Q259" s="48"/>
      <c r="R259" s="48"/>
      <c r="S259" s="48"/>
      <c r="T259" s="48"/>
      <c r="U259" s="48"/>
      <c r="V259" s="48"/>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row>
    <row r="260" spans="1:45">
      <c r="A260" s="48"/>
      <c r="B260" s="48"/>
      <c r="C260" s="48"/>
      <c r="D260" s="48"/>
      <c r="E260" s="48"/>
      <c r="F260" s="48"/>
      <c r="G260" s="48"/>
      <c r="H260" s="48"/>
      <c r="I260" s="48"/>
      <c r="J260" s="48"/>
      <c r="K260" s="48"/>
      <c r="L260" s="48"/>
      <c r="M260" s="48"/>
      <c r="N260" s="48"/>
      <c r="O260" s="48"/>
      <c r="P260" s="48"/>
      <c r="Q260" s="48"/>
      <c r="R260" s="48"/>
      <c r="S260" s="48"/>
      <c r="T260" s="48"/>
      <c r="U260" s="48"/>
      <c r="V260" s="48"/>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row>
    <row r="261" spans="1:45">
      <c r="A261" s="48"/>
      <c r="B261" s="48"/>
      <c r="C261" s="48"/>
      <c r="D261" s="48"/>
      <c r="E261" s="48"/>
      <c r="F261" s="48"/>
      <c r="G261" s="48"/>
      <c r="H261" s="48"/>
      <c r="I261" s="48"/>
      <c r="J261" s="48"/>
      <c r="K261" s="48"/>
      <c r="L261" s="48"/>
      <c r="M261" s="48"/>
      <c r="N261" s="48"/>
      <c r="O261" s="48"/>
      <c r="P261" s="48"/>
      <c r="Q261" s="48"/>
      <c r="R261" s="48"/>
      <c r="S261" s="48"/>
      <c r="T261" s="48"/>
      <c r="U261" s="48"/>
      <c r="V261" s="48"/>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row>
    <row r="262" spans="1:45">
      <c r="A262" s="48"/>
      <c r="B262" s="48"/>
      <c r="C262" s="48"/>
      <c r="D262" s="48"/>
      <c r="E262" s="48"/>
      <c r="F262" s="48"/>
      <c r="G262" s="48"/>
      <c r="H262" s="48"/>
      <c r="I262" s="48"/>
      <c r="J262" s="48"/>
      <c r="K262" s="48"/>
      <c r="L262" s="48"/>
      <c r="M262" s="48"/>
      <c r="N262" s="48"/>
      <c r="O262" s="48"/>
      <c r="P262" s="48"/>
      <c r="Q262" s="48"/>
      <c r="R262" s="48"/>
      <c r="S262" s="48"/>
      <c r="T262" s="48"/>
      <c r="U262" s="48"/>
      <c r="V262" s="48"/>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row>
    <row r="263" spans="1:45">
      <c r="A263" s="48"/>
      <c r="B263" s="48"/>
      <c r="C263" s="48"/>
      <c r="D263" s="48"/>
      <c r="E263" s="48"/>
      <c r="F263" s="48"/>
      <c r="G263" s="48"/>
      <c r="H263" s="48"/>
      <c r="I263" s="48"/>
      <c r="J263" s="48"/>
      <c r="K263" s="48"/>
      <c r="L263" s="48"/>
      <c r="M263" s="48"/>
      <c r="N263" s="48"/>
      <c r="O263" s="48"/>
      <c r="P263" s="48"/>
      <c r="Q263" s="48"/>
      <c r="R263" s="48"/>
      <c r="S263" s="48"/>
      <c r="T263" s="48"/>
      <c r="U263" s="48"/>
      <c r="V263" s="48"/>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row>
    <row r="264" spans="1:45">
      <c r="A264" s="48"/>
      <c r="B264" s="48"/>
      <c r="C264" s="48"/>
      <c r="D264" s="48"/>
      <c r="E264" s="48"/>
      <c r="F264" s="48"/>
      <c r="G264" s="48"/>
      <c r="H264" s="48"/>
      <c r="I264" s="48"/>
      <c r="J264" s="48"/>
      <c r="K264" s="48"/>
      <c r="L264" s="48"/>
      <c r="M264" s="48"/>
      <c r="N264" s="48"/>
      <c r="O264" s="48"/>
      <c r="P264" s="48"/>
      <c r="Q264" s="48"/>
      <c r="R264" s="48"/>
      <c r="S264" s="48"/>
      <c r="T264" s="48"/>
      <c r="U264" s="48"/>
      <c r="V264" s="48"/>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row>
    <row r="265" spans="1:45">
      <c r="A265" s="48"/>
      <c r="B265" s="48"/>
      <c r="C265" s="48"/>
      <c r="D265" s="48"/>
      <c r="E265" s="48"/>
      <c r="F265" s="48"/>
      <c r="G265" s="48"/>
      <c r="H265" s="48"/>
      <c r="I265" s="48"/>
      <c r="J265" s="48"/>
      <c r="K265" s="48"/>
      <c r="L265" s="48"/>
      <c r="M265" s="48"/>
      <c r="N265" s="48"/>
      <c r="O265" s="48"/>
      <c r="P265" s="48"/>
      <c r="Q265" s="48"/>
      <c r="R265" s="48"/>
      <c r="S265" s="48"/>
      <c r="T265" s="48"/>
      <c r="U265" s="48"/>
      <c r="V265" s="48"/>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row>
    <row r="266" spans="1:45">
      <c r="A266" s="48"/>
      <c r="B266" s="48"/>
      <c r="C266" s="48"/>
      <c r="D266" s="48"/>
      <c r="E266" s="48"/>
      <c r="F266" s="48"/>
      <c r="G266" s="48"/>
      <c r="H266" s="48"/>
      <c r="I266" s="48"/>
      <c r="J266" s="48"/>
      <c r="K266" s="48"/>
      <c r="L266" s="48"/>
      <c r="M266" s="48"/>
      <c r="N266" s="48"/>
      <c r="O266" s="48"/>
      <c r="P266" s="48"/>
      <c r="Q266" s="48"/>
      <c r="R266" s="48"/>
      <c r="S266" s="48"/>
      <c r="T266" s="48"/>
      <c r="U266" s="48"/>
      <c r="V266" s="48"/>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row>
    <row r="267" spans="1:45">
      <c r="A267" s="48"/>
      <c r="B267" s="48"/>
      <c r="C267" s="48"/>
      <c r="D267" s="48"/>
      <c r="E267" s="48"/>
      <c r="F267" s="48"/>
      <c r="G267" s="48"/>
      <c r="H267" s="48"/>
      <c r="I267" s="48"/>
      <c r="J267" s="48"/>
      <c r="K267" s="48"/>
      <c r="L267" s="48"/>
      <c r="M267" s="48"/>
      <c r="N267" s="48"/>
      <c r="O267" s="48"/>
      <c r="P267" s="48"/>
      <c r="Q267" s="48"/>
      <c r="R267" s="48"/>
      <c r="S267" s="48"/>
      <c r="T267" s="48"/>
      <c r="U267" s="48"/>
      <c r="V267" s="48"/>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row>
    <row r="268" spans="1:45">
      <c r="A268" s="48"/>
      <c r="B268" s="48"/>
      <c r="C268" s="48"/>
      <c r="D268" s="48"/>
      <c r="E268" s="48"/>
      <c r="F268" s="48"/>
      <c r="G268" s="48"/>
      <c r="H268" s="48"/>
      <c r="I268" s="48"/>
      <c r="J268" s="48"/>
      <c r="K268" s="48"/>
      <c r="L268" s="48"/>
      <c r="M268" s="48"/>
      <c r="N268" s="48"/>
      <c r="O268" s="48"/>
      <c r="P268" s="48"/>
      <c r="Q268" s="48"/>
      <c r="R268" s="48"/>
      <c r="S268" s="48"/>
      <c r="T268" s="48"/>
      <c r="U268" s="48"/>
      <c r="V268" s="48"/>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row>
    <row r="269" spans="1:45">
      <c r="A269" s="48"/>
      <c r="B269" s="48"/>
      <c r="C269" s="48"/>
      <c r="D269" s="48"/>
      <c r="E269" s="48"/>
      <c r="F269" s="48"/>
      <c r="G269" s="48"/>
      <c r="H269" s="48"/>
      <c r="I269" s="48"/>
      <c r="J269" s="48"/>
      <c r="K269" s="48"/>
      <c r="L269" s="48"/>
      <c r="M269" s="48"/>
      <c r="N269" s="48"/>
      <c r="O269" s="48"/>
      <c r="P269" s="48"/>
      <c r="Q269" s="48"/>
      <c r="R269" s="48"/>
      <c r="S269" s="48"/>
      <c r="T269" s="48"/>
      <c r="U269" s="48"/>
      <c r="V269" s="48"/>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row>
    <row r="270" spans="1:45">
      <c r="A270" s="48"/>
      <c r="B270" s="48"/>
      <c r="C270" s="48"/>
      <c r="D270" s="48"/>
      <c r="E270" s="48"/>
      <c r="F270" s="48"/>
      <c r="G270" s="48"/>
      <c r="H270" s="48"/>
      <c r="I270" s="48"/>
      <c r="J270" s="48"/>
      <c r="K270" s="48"/>
      <c r="L270" s="48"/>
      <c r="M270" s="48"/>
      <c r="N270" s="48"/>
      <c r="O270" s="48"/>
      <c r="P270" s="48"/>
      <c r="Q270" s="48"/>
      <c r="R270" s="48"/>
      <c r="S270" s="48"/>
      <c r="T270" s="48"/>
      <c r="U270" s="48"/>
      <c r="V270" s="48"/>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row>
    <row r="271" spans="1:45">
      <c r="A271" s="48"/>
      <c r="B271" s="48"/>
      <c r="C271" s="48"/>
      <c r="D271" s="48"/>
      <c r="E271" s="48"/>
      <c r="F271" s="48"/>
      <c r="G271" s="48"/>
      <c r="H271" s="48"/>
      <c r="I271" s="48"/>
      <c r="J271" s="48"/>
      <c r="K271" s="48"/>
      <c r="L271" s="48"/>
      <c r="M271" s="48"/>
      <c r="N271" s="48"/>
      <c r="O271" s="48"/>
      <c r="P271" s="48"/>
      <c r="Q271" s="48"/>
      <c r="R271" s="48"/>
      <c r="S271" s="48"/>
      <c r="T271" s="48"/>
      <c r="U271" s="48"/>
      <c r="V271" s="48"/>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row>
    <row r="272" spans="1:45">
      <c r="A272" s="48"/>
      <c r="B272" s="48"/>
      <c r="C272" s="48"/>
      <c r="D272" s="48"/>
      <c r="E272" s="48"/>
      <c r="F272" s="48"/>
      <c r="G272" s="48"/>
      <c r="H272" s="48"/>
      <c r="I272" s="48"/>
      <c r="J272" s="48"/>
      <c r="K272" s="48"/>
      <c r="L272" s="48"/>
      <c r="M272" s="48"/>
      <c r="N272" s="48"/>
      <c r="O272" s="48"/>
      <c r="P272" s="48"/>
      <c r="Q272" s="48"/>
      <c r="R272" s="48"/>
      <c r="S272" s="48"/>
      <c r="T272" s="48"/>
      <c r="U272" s="48"/>
      <c r="V272" s="48"/>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row>
    <row r="273" spans="1:45">
      <c r="A273" s="48"/>
      <c r="B273" s="48"/>
      <c r="C273" s="48"/>
      <c r="D273" s="48"/>
      <c r="E273" s="48"/>
      <c r="F273" s="48"/>
      <c r="G273" s="48"/>
      <c r="H273" s="48"/>
      <c r="I273" s="48"/>
      <c r="J273" s="48"/>
      <c r="K273" s="48"/>
      <c r="L273" s="48"/>
      <c r="M273" s="48"/>
      <c r="N273" s="48"/>
      <c r="O273" s="48"/>
      <c r="P273" s="48"/>
      <c r="Q273" s="48"/>
      <c r="R273" s="48"/>
      <c r="S273" s="48"/>
      <c r="T273" s="48"/>
      <c r="U273" s="48"/>
      <c r="V273" s="48"/>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row>
    <row r="274" spans="1:45">
      <c r="A274" s="48"/>
      <c r="B274" s="48"/>
      <c r="C274" s="48"/>
      <c r="D274" s="48"/>
      <c r="E274" s="48"/>
      <c r="F274" s="48"/>
      <c r="G274" s="48"/>
      <c r="H274" s="48"/>
      <c r="I274" s="48"/>
      <c r="J274" s="48"/>
      <c r="K274" s="48"/>
      <c r="L274" s="48"/>
      <c r="M274" s="48"/>
      <c r="N274" s="48"/>
      <c r="O274" s="48"/>
      <c r="P274" s="48"/>
      <c r="Q274" s="48"/>
      <c r="R274" s="48"/>
      <c r="S274" s="48"/>
      <c r="T274" s="48"/>
      <c r="U274" s="48"/>
      <c r="V274" s="48"/>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row>
    <row r="275" spans="1:45">
      <c r="A275" s="48"/>
      <c r="B275" s="48"/>
      <c r="C275" s="48"/>
      <c r="D275" s="48"/>
      <c r="E275" s="48"/>
      <c r="F275" s="48"/>
      <c r="G275" s="48"/>
      <c r="H275" s="48"/>
      <c r="I275" s="48"/>
      <c r="J275" s="48"/>
      <c r="K275" s="48"/>
      <c r="L275" s="48"/>
      <c r="M275" s="48"/>
      <c r="N275" s="48"/>
      <c r="O275" s="48"/>
      <c r="P275" s="48"/>
      <c r="Q275" s="48"/>
      <c r="R275" s="48"/>
      <c r="S275" s="48"/>
      <c r="T275" s="48"/>
      <c r="U275" s="48"/>
      <c r="V275" s="48"/>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row>
    <row r="276" spans="1:45">
      <c r="A276" s="48"/>
      <c r="B276" s="48"/>
      <c r="C276" s="48"/>
      <c r="D276" s="48"/>
      <c r="E276" s="48"/>
      <c r="F276" s="48"/>
      <c r="G276" s="48"/>
      <c r="H276" s="48"/>
      <c r="I276" s="48"/>
      <c r="J276" s="48"/>
      <c r="K276" s="48"/>
      <c r="L276" s="48"/>
      <c r="M276" s="48"/>
      <c r="N276" s="48"/>
      <c r="O276" s="48"/>
      <c r="P276" s="48"/>
      <c r="Q276" s="48"/>
      <c r="R276" s="48"/>
      <c r="S276" s="48"/>
      <c r="T276" s="48"/>
      <c r="U276" s="48"/>
      <c r="V276" s="48"/>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row>
    <row r="277" spans="1:45">
      <c r="A277" s="48"/>
      <c r="B277" s="48"/>
      <c r="C277" s="48"/>
      <c r="D277" s="48"/>
      <c r="E277" s="48"/>
      <c r="F277" s="48"/>
      <c r="G277" s="48"/>
      <c r="H277" s="48"/>
      <c r="I277" s="48"/>
      <c r="J277" s="48"/>
      <c r="K277" s="48"/>
      <c r="L277" s="48"/>
      <c r="M277" s="48"/>
      <c r="N277" s="48"/>
      <c r="O277" s="48"/>
      <c r="P277" s="48"/>
      <c r="Q277" s="48"/>
      <c r="R277" s="48"/>
      <c r="S277" s="48"/>
      <c r="T277" s="48"/>
      <c r="U277" s="48"/>
      <c r="V277" s="48"/>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row>
    <row r="278" spans="1:45">
      <c r="A278" s="48"/>
      <c r="B278" s="48"/>
      <c r="C278" s="48"/>
      <c r="D278" s="48"/>
      <c r="E278" s="48"/>
      <c r="F278" s="48"/>
      <c r="G278" s="48"/>
      <c r="H278" s="48"/>
      <c r="I278" s="48"/>
      <c r="J278" s="48"/>
      <c r="K278" s="48"/>
      <c r="L278" s="48"/>
      <c r="M278" s="48"/>
      <c r="N278" s="48"/>
      <c r="O278" s="48"/>
      <c r="P278" s="48"/>
      <c r="Q278" s="48"/>
      <c r="R278" s="48"/>
      <c r="S278" s="48"/>
      <c r="T278" s="48"/>
      <c r="U278" s="48"/>
      <c r="V278" s="48"/>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row>
    <row r="279" spans="1:45">
      <c r="A279" s="48"/>
      <c r="B279" s="48"/>
      <c r="C279" s="48"/>
      <c r="D279" s="48"/>
      <c r="E279" s="48"/>
      <c r="F279" s="48"/>
      <c r="G279" s="48"/>
      <c r="H279" s="48"/>
      <c r="I279" s="48"/>
      <c r="J279" s="48"/>
      <c r="K279" s="48"/>
      <c r="L279" s="48"/>
      <c r="M279" s="48"/>
      <c r="N279" s="48"/>
      <c r="O279" s="48"/>
      <c r="P279" s="48"/>
      <c r="Q279" s="48"/>
      <c r="R279" s="48"/>
      <c r="S279" s="48"/>
      <c r="T279" s="48"/>
      <c r="U279" s="48"/>
      <c r="V279" s="48"/>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row>
    <row r="280" spans="1:45">
      <c r="A280" s="48"/>
      <c r="B280" s="48"/>
      <c r="C280" s="48"/>
      <c r="D280" s="48"/>
      <c r="E280" s="48"/>
      <c r="F280" s="48"/>
      <c r="G280" s="48"/>
      <c r="H280" s="48"/>
      <c r="I280" s="48"/>
      <c r="J280" s="48"/>
      <c r="K280" s="48"/>
      <c r="L280" s="48"/>
      <c r="M280" s="48"/>
      <c r="N280" s="48"/>
      <c r="O280" s="48"/>
      <c r="P280" s="48"/>
      <c r="Q280" s="48"/>
      <c r="R280" s="48"/>
      <c r="S280" s="48"/>
      <c r="T280" s="48"/>
      <c r="U280" s="48"/>
      <c r="V280" s="48"/>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row>
    <row r="281" spans="1:45">
      <c r="A281" s="48"/>
      <c r="B281" s="48"/>
      <c r="C281" s="48"/>
      <c r="D281" s="48"/>
      <c r="E281" s="48"/>
      <c r="F281" s="48"/>
      <c r="G281" s="48"/>
      <c r="H281" s="48"/>
      <c r="I281" s="48"/>
      <c r="J281" s="48"/>
      <c r="K281" s="48"/>
      <c r="L281" s="48"/>
      <c r="M281" s="48"/>
      <c r="N281" s="48"/>
      <c r="O281" s="48"/>
      <c r="P281" s="48"/>
      <c r="Q281" s="48"/>
      <c r="R281" s="48"/>
      <c r="S281" s="48"/>
      <c r="T281" s="48"/>
      <c r="U281" s="48"/>
      <c r="V281" s="48"/>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row>
    <row r="282" spans="1:45">
      <c r="A282" s="48"/>
      <c r="B282" s="48"/>
      <c r="C282" s="48"/>
      <c r="D282" s="48"/>
      <c r="E282" s="48"/>
      <c r="F282" s="48"/>
      <c r="G282" s="48"/>
      <c r="H282" s="48"/>
      <c r="I282" s="48"/>
      <c r="J282" s="48"/>
      <c r="K282" s="48"/>
      <c r="L282" s="48"/>
      <c r="M282" s="48"/>
      <c r="N282" s="48"/>
      <c r="O282" s="48"/>
      <c r="P282" s="48"/>
      <c r="Q282" s="48"/>
      <c r="R282" s="48"/>
      <c r="S282" s="48"/>
      <c r="T282" s="48"/>
      <c r="U282" s="48"/>
      <c r="V282" s="48"/>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row>
    <row r="283" spans="1:45">
      <c r="A283" s="48"/>
      <c r="B283" s="48"/>
      <c r="C283" s="48"/>
      <c r="D283" s="48"/>
      <c r="E283" s="48"/>
      <c r="F283" s="48"/>
      <c r="G283" s="48"/>
      <c r="H283" s="48"/>
      <c r="I283" s="48"/>
      <c r="J283" s="48"/>
      <c r="K283" s="48"/>
      <c r="L283" s="48"/>
      <c r="M283" s="48"/>
      <c r="N283" s="48"/>
      <c r="O283" s="48"/>
      <c r="P283" s="48"/>
      <c r="Q283" s="48"/>
      <c r="R283" s="48"/>
      <c r="S283" s="48"/>
      <c r="T283" s="48"/>
      <c r="U283" s="48"/>
      <c r="V283" s="48"/>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row>
    <row r="284" spans="1:45">
      <c r="A284" s="48"/>
      <c r="B284" s="48"/>
      <c r="C284" s="48"/>
      <c r="D284" s="48"/>
      <c r="E284" s="48"/>
      <c r="F284" s="48"/>
      <c r="G284" s="48"/>
      <c r="H284" s="48"/>
      <c r="I284" s="48"/>
      <c r="J284" s="48"/>
      <c r="K284" s="48"/>
      <c r="L284" s="48"/>
      <c r="M284" s="48"/>
      <c r="N284" s="48"/>
      <c r="O284" s="48"/>
      <c r="P284" s="48"/>
      <c r="Q284" s="48"/>
      <c r="R284" s="48"/>
      <c r="S284" s="48"/>
      <c r="T284" s="48"/>
      <c r="U284" s="48"/>
      <c r="V284" s="48"/>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row>
    <row r="285" spans="1:45">
      <c r="A285" s="48"/>
      <c r="B285" s="48"/>
      <c r="C285" s="48"/>
      <c r="D285" s="48"/>
      <c r="E285" s="48"/>
      <c r="F285" s="48"/>
      <c r="G285" s="48"/>
      <c r="H285" s="48"/>
      <c r="I285" s="48"/>
      <c r="J285" s="48"/>
      <c r="K285" s="48"/>
      <c r="L285" s="48"/>
      <c r="M285" s="48"/>
      <c r="N285" s="48"/>
      <c r="O285" s="48"/>
      <c r="P285" s="48"/>
      <c r="Q285" s="48"/>
      <c r="R285" s="48"/>
      <c r="S285" s="48"/>
      <c r="T285" s="48"/>
      <c r="U285" s="48"/>
      <c r="V285" s="48"/>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row>
    <row r="286" spans="1:45">
      <c r="A286" s="48"/>
      <c r="B286" s="48"/>
      <c r="C286" s="48"/>
      <c r="D286" s="48"/>
      <c r="E286" s="48"/>
      <c r="F286" s="48"/>
      <c r="G286" s="48"/>
      <c r="H286" s="48"/>
      <c r="I286" s="48"/>
      <c r="J286" s="48"/>
      <c r="K286" s="48"/>
      <c r="L286" s="48"/>
      <c r="M286" s="48"/>
      <c r="N286" s="48"/>
      <c r="O286" s="48"/>
      <c r="P286" s="48"/>
      <c r="Q286" s="48"/>
      <c r="R286" s="48"/>
      <c r="S286" s="48"/>
      <c r="T286" s="48"/>
      <c r="U286" s="48"/>
      <c r="V286" s="48"/>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row>
    <row r="287" spans="1:45">
      <c r="A287" s="48"/>
      <c r="B287" s="48"/>
      <c r="C287" s="48"/>
      <c r="D287" s="48"/>
      <c r="E287" s="48"/>
      <c r="F287" s="48"/>
      <c r="G287" s="48"/>
      <c r="H287" s="48"/>
      <c r="I287" s="48"/>
      <c r="J287" s="48"/>
      <c r="K287" s="48"/>
      <c r="L287" s="48"/>
      <c r="M287" s="48"/>
      <c r="N287" s="48"/>
      <c r="O287" s="48"/>
      <c r="P287" s="48"/>
      <c r="Q287" s="48"/>
      <c r="R287" s="48"/>
      <c r="S287" s="48"/>
      <c r="T287" s="48"/>
      <c r="U287" s="48"/>
      <c r="V287" s="48"/>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row>
    <row r="288" spans="1:45">
      <c r="A288" s="48"/>
      <c r="B288" s="48"/>
      <c r="C288" s="48"/>
      <c r="D288" s="48"/>
      <c r="E288" s="48"/>
      <c r="F288" s="48"/>
      <c r="G288" s="48"/>
      <c r="H288" s="48"/>
      <c r="I288" s="48"/>
      <c r="J288" s="48"/>
      <c r="K288" s="48"/>
      <c r="L288" s="48"/>
      <c r="M288" s="48"/>
      <c r="N288" s="48"/>
      <c r="O288" s="48"/>
      <c r="P288" s="48"/>
      <c r="Q288" s="48"/>
      <c r="R288" s="48"/>
      <c r="S288" s="48"/>
      <c r="T288" s="48"/>
      <c r="U288" s="48"/>
      <c r="V288" s="48"/>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row>
    <row r="289" spans="1:45">
      <c r="A289" s="48"/>
      <c r="B289" s="48"/>
      <c r="C289" s="48"/>
      <c r="D289" s="48"/>
      <c r="E289" s="48"/>
      <c r="F289" s="48"/>
      <c r="G289" s="48"/>
      <c r="H289" s="48"/>
      <c r="I289" s="48"/>
      <c r="J289" s="48"/>
      <c r="K289" s="48"/>
      <c r="L289" s="48"/>
      <c r="M289" s="48"/>
      <c r="N289" s="48"/>
      <c r="O289" s="48"/>
      <c r="P289" s="48"/>
      <c r="Q289" s="48"/>
      <c r="R289" s="48"/>
      <c r="S289" s="48"/>
      <c r="T289" s="48"/>
      <c r="U289" s="48"/>
      <c r="V289" s="48"/>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row>
    <row r="290" spans="1:45">
      <c r="A290" s="48"/>
      <c r="B290" s="48"/>
      <c r="C290" s="48"/>
      <c r="D290" s="48"/>
      <c r="E290" s="48"/>
      <c r="F290" s="48"/>
      <c r="G290" s="48"/>
      <c r="H290" s="48"/>
      <c r="I290" s="48"/>
      <c r="J290" s="48"/>
      <c r="K290" s="48"/>
      <c r="L290" s="48"/>
      <c r="M290" s="48"/>
      <c r="N290" s="48"/>
      <c r="O290" s="48"/>
      <c r="P290" s="48"/>
      <c r="Q290" s="48"/>
      <c r="R290" s="48"/>
      <c r="S290" s="48"/>
      <c r="T290" s="48"/>
      <c r="U290" s="48"/>
      <c r="V290" s="48"/>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row>
    <row r="291" spans="1:45">
      <c r="A291" s="48"/>
      <c r="B291" s="48"/>
      <c r="C291" s="48"/>
      <c r="D291" s="48"/>
      <c r="E291" s="48"/>
      <c r="F291" s="48"/>
      <c r="G291" s="48"/>
      <c r="H291" s="48"/>
      <c r="I291" s="48"/>
      <c r="J291" s="48"/>
      <c r="K291" s="48"/>
      <c r="L291" s="48"/>
      <c r="M291" s="48"/>
      <c r="N291" s="48"/>
      <c r="O291" s="48"/>
      <c r="P291" s="48"/>
      <c r="Q291" s="48"/>
      <c r="R291" s="48"/>
      <c r="S291" s="48"/>
      <c r="T291" s="48"/>
      <c r="U291" s="48"/>
      <c r="V291" s="48"/>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row>
    <row r="292" spans="1:45">
      <c r="A292" s="48"/>
      <c r="B292" s="48"/>
      <c r="C292" s="48"/>
      <c r="D292" s="48"/>
      <c r="E292" s="48"/>
      <c r="F292" s="48"/>
      <c r="G292" s="48"/>
      <c r="H292" s="48"/>
      <c r="I292" s="48"/>
      <c r="J292" s="48"/>
      <c r="K292" s="48"/>
      <c r="L292" s="48"/>
      <c r="M292" s="48"/>
      <c r="N292" s="48"/>
      <c r="O292" s="48"/>
      <c r="P292" s="48"/>
      <c r="Q292" s="48"/>
      <c r="R292" s="48"/>
      <c r="S292" s="48"/>
      <c r="T292" s="48"/>
      <c r="U292" s="48"/>
      <c r="V292" s="48"/>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row>
    <row r="293" spans="1:45">
      <c r="A293" s="48"/>
      <c r="B293" s="48"/>
      <c r="C293" s="48"/>
      <c r="D293" s="48"/>
      <c r="E293" s="48"/>
      <c r="F293" s="48"/>
      <c r="G293" s="48"/>
      <c r="H293" s="48"/>
      <c r="I293" s="48"/>
      <c r="J293" s="48"/>
      <c r="K293" s="48"/>
      <c r="L293" s="48"/>
      <c r="M293" s="48"/>
      <c r="N293" s="48"/>
      <c r="O293" s="48"/>
      <c r="P293" s="48"/>
      <c r="Q293" s="48"/>
      <c r="R293" s="48"/>
      <c r="S293" s="48"/>
      <c r="T293" s="48"/>
      <c r="U293" s="48"/>
      <c r="V293" s="48"/>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row>
    <row r="294" spans="1:45">
      <c r="A294" s="48"/>
      <c r="B294" s="48"/>
      <c r="C294" s="48"/>
      <c r="D294" s="48"/>
      <c r="E294" s="48"/>
      <c r="F294" s="48"/>
      <c r="G294" s="48"/>
      <c r="H294" s="48"/>
      <c r="I294" s="48"/>
      <c r="J294" s="48"/>
      <c r="K294" s="48"/>
      <c r="L294" s="48"/>
      <c r="M294" s="48"/>
      <c r="N294" s="48"/>
      <c r="O294" s="48"/>
      <c r="P294" s="48"/>
      <c r="Q294" s="48"/>
      <c r="R294" s="48"/>
      <c r="S294" s="48"/>
      <c r="T294" s="48"/>
      <c r="U294" s="48"/>
      <c r="V294" s="48"/>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row>
    <row r="295" spans="1:45">
      <c r="A295" s="48"/>
      <c r="B295" s="48"/>
      <c r="C295" s="48"/>
      <c r="D295" s="48"/>
      <c r="E295" s="48"/>
      <c r="F295" s="48"/>
      <c r="G295" s="48"/>
      <c r="H295" s="48"/>
      <c r="I295" s="48"/>
      <c r="J295" s="48"/>
      <c r="K295" s="48"/>
      <c r="L295" s="48"/>
      <c r="M295" s="48"/>
      <c r="N295" s="48"/>
      <c r="O295" s="48"/>
      <c r="P295" s="48"/>
      <c r="Q295" s="48"/>
      <c r="R295" s="48"/>
      <c r="S295" s="48"/>
      <c r="T295" s="48"/>
      <c r="U295" s="48"/>
      <c r="V295" s="48"/>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row>
    <row r="296" spans="1:45">
      <c r="A296" s="48"/>
      <c r="B296" s="48"/>
      <c r="C296" s="48"/>
      <c r="D296" s="48"/>
      <c r="E296" s="48"/>
      <c r="F296" s="48"/>
      <c r="G296" s="48"/>
      <c r="H296" s="48"/>
      <c r="I296" s="48"/>
      <c r="J296" s="48"/>
      <c r="K296" s="48"/>
      <c r="L296" s="48"/>
      <c r="M296" s="48"/>
      <c r="N296" s="48"/>
      <c r="O296" s="48"/>
      <c r="P296" s="48"/>
      <c r="Q296" s="48"/>
      <c r="R296" s="48"/>
      <c r="S296" s="48"/>
      <c r="T296" s="48"/>
      <c r="U296" s="48"/>
      <c r="V296" s="48"/>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row>
    <row r="297" spans="1:45">
      <c r="A297" s="48"/>
      <c r="B297" s="48"/>
      <c r="C297" s="48"/>
      <c r="D297" s="48"/>
      <c r="E297" s="48"/>
      <c r="F297" s="48"/>
      <c r="G297" s="48"/>
      <c r="H297" s="48"/>
      <c r="I297" s="48"/>
      <c r="J297" s="48"/>
      <c r="K297" s="48"/>
      <c r="L297" s="48"/>
      <c r="M297" s="48"/>
      <c r="N297" s="48"/>
      <c r="O297" s="48"/>
      <c r="P297" s="48"/>
      <c r="Q297" s="48"/>
      <c r="R297" s="48"/>
      <c r="S297" s="48"/>
      <c r="T297" s="48"/>
      <c r="U297" s="48"/>
      <c r="V297" s="48"/>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row>
    <row r="298" spans="1:45">
      <c r="A298" s="48"/>
      <c r="B298" s="48"/>
      <c r="C298" s="48"/>
      <c r="D298" s="48"/>
      <c r="E298" s="48"/>
      <c r="F298" s="48"/>
      <c r="G298" s="48"/>
      <c r="H298" s="48"/>
      <c r="I298" s="48"/>
      <c r="J298" s="48"/>
      <c r="K298" s="48"/>
      <c r="L298" s="48"/>
      <c r="M298" s="48"/>
      <c r="N298" s="48"/>
      <c r="O298" s="48"/>
      <c r="P298" s="48"/>
      <c r="Q298" s="48"/>
      <c r="R298" s="48"/>
      <c r="S298" s="48"/>
      <c r="T298" s="48"/>
      <c r="U298" s="48"/>
      <c r="V298" s="48"/>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row>
    <row r="299" spans="1:45">
      <c r="A299" s="48"/>
      <c r="B299" s="48"/>
      <c r="C299" s="48"/>
      <c r="D299" s="48"/>
      <c r="E299" s="48"/>
      <c r="F299" s="48"/>
      <c r="G299" s="48"/>
      <c r="H299" s="48"/>
      <c r="I299" s="48"/>
      <c r="J299" s="48"/>
      <c r="K299" s="48"/>
      <c r="L299" s="48"/>
      <c r="M299" s="48"/>
      <c r="N299" s="48"/>
      <c r="O299" s="48"/>
      <c r="P299" s="48"/>
      <c r="Q299" s="48"/>
      <c r="R299" s="48"/>
      <c r="S299" s="48"/>
      <c r="T299" s="48"/>
      <c r="U299" s="48"/>
      <c r="V299" s="48"/>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row>
    <row r="300" spans="1:45">
      <c r="A300" s="48"/>
      <c r="B300" s="48"/>
      <c r="C300" s="48"/>
      <c r="D300" s="48"/>
      <c r="E300" s="48"/>
      <c r="F300" s="48"/>
      <c r="G300" s="48"/>
      <c r="H300" s="48"/>
      <c r="I300" s="48"/>
      <c r="J300" s="48"/>
      <c r="K300" s="48"/>
      <c r="L300" s="48"/>
      <c r="M300" s="48"/>
      <c r="N300" s="48"/>
      <c r="O300" s="48"/>
      <c r="P300" s="48"/>
      <c r="Q300" s="48"/>
      <c r="R300" s="48"/>
      <c r="S300" s="48"/>
      <c r="T300" s="48"/>
      <c r="U300" s="48"/>
      <c r="V300" s="48"/>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row>
    <row r="301" spans="1:45">
      <c r="A301" s="48"/>
      <c r="B301" s="48"/>
      <c r="C301" s="48"/>
      <c r="D301" s="48"/>
      <c r="E301" s="48"/>
      <c r="F301" s="48"/>
      <c r="G301" s="48"/>
      <c r="H301" s="48"/>
      <c r="I301" s="48"/>
      <c r="J301" s="48"/>
      <c r="K301" s="48"/>
      <c r="L301" s="48"/>
      <c r="M301" s="48"/>
      <c r="N301" s="48"/>
      <c r="O301" s="48"/>
      <c r="P301" s="48"/>
      <c r="Q301" s="48"/>
      <c r="R301" s="48"/>
      <c r="S301" s="48"/>
      <c r="T301" s="48"/>
      <c r="U301" s="48"/>
      <c r="V301" s="48"/>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row>
    <row r="302" spans="1:45">
      <c r="A302" s="48"/>
      <c r="B302" s="48"/>
      <c r="C302" s="48"/>
      <c r="D302" s="48"/>
      <c r="E302" s="48"/>
      <c r="F302" s="48"/>
      <c r="G302" s="48"/>
      <c r="H302" s="48"/>
      <c r="I302" s="48"/>
      <c r="J302" s="48"/>
      <c r="K302" s="48"/>
      <c r="L302" s="48"/>
      <c r="M302" s="48"/>
      <c r="N302" s="48"/>
      <c r="O302" s="48"/>
      <c r="P302" s="48"/>
      <c r="Q302" s="48"/>
      <c r="R302" s="48"/>
      <c r="S302" s="48"/>
      <c r="T302" s="48"/>
      <c r="U302" s="48"/>
      <c r="V302" s="48"/>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row>
    <row r="303" spans="1:45">
      <c r="A303" s="48"/>
      <c r="B303" s="48"/>
      <c r="C303" s="48"/>
      <c r="D303" s="48"/>
      <c r="E303" s="48"/>
      <c r="F303" s="48"/>
      <c r="G303" s="48"/>
      <c r="H303" s="48"/>
      <c r="I303" s="48"/>
      <c r="J303" s="48"/>
      <c r="K303" s="48"/>
      <c r="L303" s="48"/>
      <c r="M303" s="48"/>
      <c r="N303" s="48"/>
      <c r="O303" s="48"/>
      <c r="P303" s="48"/>
      <c r="Q303" s="48"/>
      <c r="R303" s="48"/>
      <c r="S303" s="48"/>
      <c r="T303" s="48"/>
      <c r="U303" s="48"/>
      <c r="V303" s="48"/>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row>
    <row r="304" spans="1:45">
      <c r="A304" s="48"/>
      <c r="B304" s="48"/>
      <c r="C304" s="48"/>
      <c r="D304" s="48"/>
      <c r="E304" s="48"/>
      <c r="F304" s="48"/>
      <c r="G304" s="48"/>
      <c r="H304" s="48"/>
      <c r="I304" s="48"/>
      <c r="J304" s="48"/>
      <c r="K304" s="48"/>
      <c r="L304" s="48"/>
      <c r="M304" s="48"/>
      <c r="N304" s="48"/>
      <c r="O304" s="48"/>
      <c r="P304" s="48"/>
      <c r="Q304" s="48"/>
      <c r="R304" s="48"/>
      <c r="S304" s="48"/>
      <c r="T304" s="48"/>
      <c r="U304" s="48"/>
      <c r="V304" s="48"/>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row>
    <row r="305" spans="1:45">
      <c r="A305" s="48"/>
      <c r="B305" s="48"/>
      <c r="C305" s="48"/>
      <c r="D305" s="48"/>
      <c r="E305" s="48"/>
      <c r="F305" s="48"/>
      <c r="G305" s="48"/>
      <c r="H305" s="48"/>
      <c r="I305" s="48"/>
      <c r="J305" s="48"/>
      <c r="K305" s="48"/>
      <c r="L305" s="48"/>
      <c r="M305" s="48"/>
      <c r="N305" s="48"/>
      <c r="O305" s="48"/>
      <c r="P305" s="48"/>
      <c r="Q305" s="48"/>
      <c r="R305" s="48"/>
      <c r="S305" s="48"/>
      <c r="T305" s="48"/>
      <c r="U305" s="48"/>
      <c r="V305" s="48"/>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row>
    <row r="306" spans="1:45">
      <c r="A306" s="48"/>
      <c r="B306" s="48"/>
      <c r="C306" s="48"/>
      <c r="D306" s="48"/>
      <c r="E306" s="48"/>
      <c r="F306" s="48"/>
      <c r="G306" s="48"/>
      <c r="H306" s="48"/>
      <c r="I306" s="48"/>
      <c r="J306" s="48"/>
      <c r="K306" s="48"/>
      <c r="L306" s="48"/>
      <c r="M306" s="48"/>
      <c r="N306" s="48"/>
      <c r="O306" s="48"/>
      <c r="P306" s="48"/>
      <c r="Q306" s="48"/>
      <c r="R306" s="48"/>
      <c r="S306" s="48"/>
      <c r="T306" s="48"/>
      <c r="U306" s="48"/>
      <c r="V306" s="48"/>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row>
    <row r="307" spans="1:45">
      <c r="A307" s="48"/>
      <c r="B307" s="48"/>
      <c r="C307" s="48"/>
      <c r="D307" s="48"/>
      <c r="E307" s="48"/>
      <c r="F307" s="48"/>
      <c r="G307" s="48"/>
      <c r="H307" s="48"/>
      <c r="I307" s="48"/>
      <c r="J307" s="48"/>
      <c r="K307" s="48"/>
      <c r="L307" s="48"/>
      <c r="M307" s="48"/>
      <c r="N307" s="48"/>
      <c r="O307" s="48"/>
      <c r="P307" s="48"/>
      <c r="Q307" s="48"/>
      <c r="R307" s="48"/>
      <c r="S307" s="48"/>
      <c r="T307" s="48"/>
      <c r="U307" s="48"/>
      <c r="V307" s="48"/>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row>
    <row r="308" spans="1:45">
      <c r="A308" s="48"/>
      <c r="B308" s="48"/>
      <c r="C308" s="48"/>
      <c r="D308" s="48"/>
      <c r="E308" s="48"/>
      <c r="F308" s="48"/>
      <c r="G308" s="48"/>
      <c r="H308" s="48"/>
      <c r="I308" s="48"/>
      <c r="J308" s="48"/>
      <c r="K308" s="48"/>
      <c r="L308" s="48"/>
      <c r="M308" s="48"/>
      <c r="N308" s="48"/>
      <c r="O308" s="48"/>
      <c r="P308" s="48"/>
      <c r="Q308" s="48"/>
      <c r="R308" s="48"/>
      <c r="S308" s="48"/>
      <c r="T308" s="48"/>
      <c r="U308" s="48"/>
      <c r="V308" s="48"/>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row>
    <row r="309" spans="1:45">
      <c r="A309" s="48"/>
      <c r="B309" s="48"/>
      <c r="C309" s="48"/>
      <c r="D309" s="48"/>
      <c r="E309" s="48"/>
      <c r="F309" s="48"/>
      <c r="G309" s="48"/>
      <c r="H309" s="48"/>
      <c r="I309" s="48"/>
      <c r="J309" s="48"/>
      <c r="K309" s="48"/>
      <c r="L309" s="48"/>
      <c r="M309" s="48"/>
      <c r="N309" s="48"/>
      <c r="O309" s="48"/>
      <c r="P309" s="48"/>
      <c r="Q309" s="48"/>
      <c r="R309" s="48"/>
      <c r="S309" s="48"/>
      <c r="T309" s="48"/>
      <c r="U309" s="48"/>
      <c r="V309" s="48"/>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row>
    <row r="310" spans="1:45">
      <c r="A310" s="48"/>
      <c r="B310" s="48"/>
      <c r="C310" s="48"/>
      <c r="D310" s="48"/>
      <c r="E310" s="48"/>
      <c r="F310" s="48"/>
      <c r="G310" s="48"/>
      <c r="H310" s="48"/>
      <c r="I310" s="48"/>
      <c r="J310" s="48"/>
      <c r="K310" s="48"/>
      <c r="L310" s="48"/>
      <c r="M310" s="48"/>
      <c r="N310" s="48"/>
      <c r="O310" s="48"/>
      <c r="P310" s="48"/>
      <c r="Q310" s="48"/>
      <c r="R310" s="48"/>
      <c r="S310" s="48"/>
      <c r="T310" s="48"/>
      <c r="U310" s="48"/>
      <c r="V310" s="48"/>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140"/>
      <c r="AS310" s="140"/>
    </row>
    <row r="311" spans="1:45">
      <c r="A311" s="48"/>
      <c r="B311" s="48"/>
      <c r="C311" s="48"/>
      <c r="D311" s="48"/>
      <c r="E311" s="48"/>
      <c r="F311" s="48"/>
      <c r="G311" s="48"/>
      <c r="H311" s="48"/>
      <c r="I311" s="48"/>
      <c r="J311" s="48"/>
      <c r="K311" s="48"/>
      <c r="L311" s="48"/>
      <c r="M311" s="48"/>
      <c r="N311" s="48"/>
      <c r="O311" s="48"/>
      <c r="P311" s="48"/>
      <c r="Q311" s="48"/>
      <c r="R311" s="48"/>
      <c r="S311" s="48"/>
      <c r="T311" s="48"/>
      <c r="U311" s="48"/>
      <c r="V311" s="48"/>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140"/>
      <c r="AS311" s="140"/>
    </row>
    <row r="312" spans="1:45">
      <c r="A312" s="48"/>
      <c r="B312" s="48"/>
      <c r="C312" s="48"/>
      <c r="D312" s="48"/>
      <c r="E312" s="48"/>
      <c r="F312" s="48"/>
      <c r="G312" s="48"/>
      <c r="H312" s="48"/>
      <c r="I312" s="48"/>
      <c r="J312" s="48"/>
      <c r="K312" s="48"/>
      <c r="L312" s="48"/>
      <c r="M312" s="48"/>
      <c r="N312" s="48"/>
      <c r="O312" s="48"/>
      <c r="P312" s="48"/>
      <c r="Q312" s="48"/>
      <c r="R312" s="48"/>
      <c r="S312" s="48"/>
      <c r="T312" s="48"/>
      <c r="U312" s="48"/>
      <c r="V312" s="48"/>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140"/>
      <c r="AS312" s="140"/>
    </row>
    <row r="313" spans="1:45">
      <c r="A313" s="48"/>
      <c r="B313" s="48"/>
      <c r="C313" s="48"/>
      <c r="D313" s="48"/>
      <c r="E313" s="48"/>
      <c r="F313" s="48"/>
      <c r="G313" s="48"/>
      <c r="H313" s="48"/>
      <c r="I313" s="48"/>
      <c r="J313" s="48"/>
      <c r="K313" s="48"/>
      <c r="L313" s="48"/>
      <c r="M313" s="48"/>
      <c r="N313" s="48"/>
      <c r="O313" s="48"/>
      <c r="P313" s="48"/>
      <c r="Q313" s="48"/>
      <c r="R313" s="48"/>
      <c r="S313" s="48"/>
      <c r="T313" s="48"/>
      <c r="U313" s="48"/>
      <c r="V313" s="48"/>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140"/>
      <c r="AS313" s="140"/>
    </row>
    <row r="314" spans="1:45">
      <c r="A314" s="48"/>
      <c r="B314" s="48"/>
      <c r="C314" s="48"/>
      <c r="D314" s="48"/>
      <c r="E314" s="48"/>
      <c r="F314" s="48"/>
      <c r="G314" s="48"/>
      <c r="H314" s="48"/>
      <c r="I314" s="48"/>
      <c r="J314" s="48"/>
      <c r="K314" s="48"/>
      <c r="L314" s="48"/>
      <c r="M314" s="48"/>
      <c r="N314" s="48"/>
      <c r="O314" s="48"/>
      <c r="P314" s="48"/>
      <c r="Q314" s="48"/>
      <c r="R314" s="48"/>
      <c r="S314" s="48"/>
      <c r="T314" s="48"/>
      <c r="U314" s="48"/>
      <c r="V314" s="48"/>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140"/>
      <c r="AS314" s="140"/>
    </row>
    <row r="315" spans="1:45">
      <c r="A315" s="48"/>
      <c r="B315" s="48"/>
      <c r="C315" s="48"/>
      <c r="D315" s="48"/>
      <c r="E315" s="48"/>
      <c r="F315" s="48"/>
      <c r="G315" s="48"/>
      <c r="H315" s="48"/>
      <c r="I315" s="48"/>
      <c r="J315" s="48"/>
      <c r="K315" s="48"/>
      <c r="L315" s="48"/>
      <c r="M315" s="48"/>
      <c r="N315" s="48"/>
      <c r="O315" s="48"/>
      <c r="P315" s="48"/>
      <c r="Q315" s="48"/>
      <c r="R315" s="48"/>
      <c r="S315" s="48"/>
      <c r="T315" s="48"/>
      <c r="U315" s="48"/>
      <c r="V315" s="48"/>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140"/>
      <c r="AS315" s="140"/>
    </row>
    <row r="316" spans="1:45">
      <c r="A316" s="48"/>
      <c r="B316" s="48"/>
      <c r="C316" s="48"/>
      <c r="D316" s="48"/>
      <c r="E316" s="48"/>
      <c r="F316" s="48"/>
      <c r="G316" s="48"/>
      <c r="H316" s="48"/>
      <c r="I316" s="48"/>
      <c r="J316" s="48"/>
      <c r="K316" s="48"/>
      <c r="L316" s="48"/>
      <c r="M316" s="48"/>
      <c r="N316" s="48"/>
      <c r="O316" s="48"/>
      <c r="P316" s="48"/>
      <c r="Q316" s="48"/>
      <c r="R316" s="48"/>
      <c r="S316" s="48"/>
      <c r="T316" s="48"/>
      <c r="U316" s="48"/>
      <c r="V316" s="48"/>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140"/>
      <c r="AS316" s="140"/>
    </row>
    <row r="317" spans="1:45">
      <c r="A317" s="48"/>
      <c r="B317" s="48"/>
      <c r="C317" s="48"/>
      <c r="D317" s="48"/>
      <c r="E317" s="48"/>
      <c r="F317" s="48"/>
      <c r="G317" s="48"/>
      <c r="H317" s="48"/>
      <c r="I317" s="48"/>
      <c r="J317" s="48"/>
      <c r="K317" s="48"/>
      <c r="L317" s="48"/>
      <c r="M317" s="48"/>
      <c r="N317" s="48"/>
      <c r="O317" s="48"/>
      <c r="P317" s="48"/>
      <c r="Q317" s="48"/>
      <c r="R317" s="48"/>
      <c r="S317" s="48"/>
      <c r="T317" s="48"/>
      <c r="U317" s="48"/>
      <c r="V317" s="48"/>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140"/>
      <c r="AS317" s="140"/>
    </row>
    <row r="318" spans="1:45">
      <c r="A318" s="48"/>
      <c r="B318" s="48"/>
      <c r="C318" s="48"/>
      <c r="D318" s="48"/>
      <c r="E318" s="48"/>
      <c r="F318" s="48"/>
      <c r="G318" s="48"/>
      <c r="H318" s="48"/>
      <c r="I318" s="48"/>
      <c r="J318" s="48"/>
      <c r="K318" s="48"/>
      <c r="L318" s="48"/>
      <c r="M318" s="48"/>
      <c r="N318" s="48"/>
      <c r="O318" s="48"/>
      <c r="P318" s="48"/>
      <c r="Q318" s="48"/>
      <c r="R318" s="48"/>
      <c r="S318" s="48"/>
      <c r="T318" s="48"/>
      <c r="U318" s="48"/>
      <c r="V318" s="48"/>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140"/>
      <c r="AS318" s="140"/>
    </row>
    <row r="319" spans="1:45">
      <c r="A319" s="48"/>
      <c r="B319" s="48"/>
      <c r="C319" s="48"/>
      <c r="D319" s="48"/>
      <c r="E319" s="48"/>
      <c r="F319" s="48"/>
      <c r="G319" s="48"/>
      <c r="H319" s="48"/>
      <c r="I319" s="48"/>
      <c r="J319" s="48"/>
      <c r="K319" s="48"/>
      <c r="L319" s="48"/>
      <c r="M319" s="48"/>
      <c r="N319" s="48"/>
      <c r="O319" s="48"/>
      <c r="P319" s="48"/>
      <c r="Q319" s="48"/>
      <c r="R319" s="48"/>
      <c r="S319" s="48"/>
      <c r="T319" s="48"/>
      <c r="U319" s="48"/>
      <c r="V319" s="48"/>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140"/>
      <c r="AS319" s="140"/>
    </row>
    <row r="320" spans="1:45">
      <c r="A320" s="48"/>
      <c r="B320" s="48"/>
      <c r="C320" s="48"/>
      <c r="D320" s="48"/>
      <c r="E320" s="48"/>
      <c r="F320" s="48"/>
      <c r="G320" s="48"/>
      <c r="H320" s="48"/>
      <c r="I320" s="48"/>
      <c r="J320" s="48"/>
      <c r="K320" s="48"/>
      <c r="L320" s="48"/>
      <c r="M320" s="48"/>
      <c r="N320" s="48"/>
      <c r="O320" s="48"/>
      <c r="P320" s="48"/>
      <c r="Q320" s="48"/>
      <c r="R320" s="48"/>
      <c r="S320" s="48"/>
      <c r="T320" s="48"/>
      <c r="U320" s="48"/>
      <c r="V320" s="48"/>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140"/>
      <c r="AS320" s="140"/>
    </row>
    <row r="321" spans="1:45">
      <c r="A321" s="48"/>
      <c r="B321" s="48"/>
      <c r="C321" s="48"/>
      <c r="D321" s="48"/>
      <c r="E321" s="48"/>
      <c r="F321" s="48"/>
      <c r="G321" s="48"/>
      <c r="H321" s="48"/>
      <c r="I321" s="48"/>
      <c r="J321" s="48"/>
      <c r="K321" s="48"/>
      <c r="L321" s="48"/>
      <c r="M321" s="48"/>
      <c r="N321" s="48"/>
      <c r="O321" s="48"/>
      <c r="P321" s="48"/>
      <c r="Q321" s="48"/>
      <c r="R321" s="48"/>
      <c r="S321" s="48"/>
      <c r="T321" s="48"/>
      <c r="U321" s="48"/>
      <c r="V321" s="48"/>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140"/>
      <c r="AS321" s="140"/>
    </row>
    <row r="322" spans="1:45">
      <c r="A322" s="48"/>
      <c r="B322" s="48"/>
      <c r="C322" s="48"/>
      <c r="D322" s="48"/>
      <c r="E322" s="48"/>
      <c r="F322" s="48"/>
      <c r="G322" s="48"/>
      <c r="H322" s="48"/>
      <c r="I322" s="48"/>
      <c r="J322" s="48"/>
      <c r="K322" s="48"/>
      <c r="L322" s="48"/>
      <c r="M322" s="48"/>
      <c r="N322" s="48"/>
      <c r="O322" s="48"/>
      <c r="P322" s="48"/>
      <c r="Q322" s="48"/>
      <c r="R322" s="48"/>
      <c r="S322" s="48"/>
      <c r="T322" s="48"/>
      <c r="U322" s="48"/>
      <c r="V322" s="48"/>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140"/>
      <c r="AS322" s="140"/>
    </row>
    <row r="323" spans="1:45">
      <c r="A323" s="48"/>
      <c r="B323" s="48"/>
      <c r="C323" s="48"/>
      <c r="D323" s="48"/>
      <c r="E323" s="48"/>
      <c r="F323" s="48"/>
      <c r="G323" s="48"/>
      <c r="H323" s="48"/>
      <c r="I323" s="48"/>
      <c r="J323" s="48"/>
      <c r="K323" s="48"/>
      <c r="L323" s="48"/>
      <c r="M323" s="48"/>
      <c r="N323" s="48"/>
      <c r="O323" s="48"/>
      <c r="P323" s="48"/>
      <c r="Q323" s="48"/>
      <c r="R323" s="48"/>
      <c r="S323" s="48"/>
      <c r="T323" s="48"/>
      <c r="U323" s="48"/>
      <c r="V323" s="48"/>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140"/>
      <c r="AS323" s="140"/>
    </row>
    <row r="324" spans="1:45">
      <c r="A324" s="48"/>
      <c r="B324" s="48"/>
      <c r="C324" s="48"/>
      <c r="D324" s="48"/>
      <c r="E324" s="48"/>
      <c r="F324" s="48"/>
      <c r="G324" s="48"/>
      <c r="H324" s="48"/>
      <c r="I324" s="48"/>
      <c r="J324" s="48"/>
      <c r="K324" s="48"/>
      <c r="L324" s="48"/>
      <c r="M324" s="48"/>
      <c r="N324" s="48"/>
      <c r="O324" s="48"/>
      <c r="P324" s="48"/>
      <c r="Q324" s="48"/>
      <c r="R324" s="48"/>
      <c r="S324" s="48"/>
      <c r="T324" s="48"/>
      <c r="U324" s="48"/>
      <c r="V324" s="48"/>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140"/>
      <c r="AS324" s="140"/>
    </row>
    <row r="325" spans="1:45">
      <c r="A325" s="48"/>
      <c r="B325" s="48"/>
      <c r="C325" s="48"/>
      <c r="D325" s="48"/>
      <c r="E325" s="48"/>
      <c r="F325" s="48"/>
      <c r="G325" s="48"/>
      <c r="H325" s="48"/>
      <c r="I325" s="48"/>
      <c r="J325" s="48"/>
      <c r="K325" s="48"/>
      <c r="L325" s="48"/>
      <c r="M325" s="48"/>
      <c r="N325" s="48"/>
      <c r="O325" s="48"/>
      <c r="P325" s="48"/>
      <c r="Q325" s="48"/>
      <c r="R325" s="48"/>
      <c r="S325" s="48"/>
      <c r="T325" s="48"/>
      <c r="U325" s="48"/>
      <c r="V325" s="48"/>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140"/>
      <c r="AS325" s="140"/>
    </row>
    <row r="326" spans="1:45">
      <c r="A326" s="48"/>
      <c r="B326" s="48"/>
      <c r="C326" s="48"/>
      <c r="D326" s="48"/>
      <c r="E326" s="48"/>
      <c r="F326" s="48"/>
      <c r="G326" s="48"/>
      <c r="H326" s="48"/>
      <c r="I326" s="48"/>
      <c r="J326" s="48"/>
      <c r="K326" s="48"/>
      <c r="L326" s="48"/>
      <c r="M326" s="48"/>
      <c r="N326" s="48"/>
      <c r="O326" s="48"/>
      <c r="P326" s="48"/>
      <c r="Q326" s="48"/>
      <c r="R326" s="48"/>
      <c r="S326" s="48"/>
      <c r="T326" s="48"/>
      <c r="U326" s="48"/>
      <c r="V326" s="48"/>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140"/>
      <c r="AS326" s="140"/>
    </row>
    <row r="327" spans="1:45">
      <c r="A327" s="48"/>
      <c r="B327" s="48"/>
      <c r="C327" s="48"/>
      <c r="D327" s="48"/>
      <c r="E327" s="48"/>
      <c r="F327" s="48"/>
      <c r="G327" s="48"/>
      <c r="H327" s="48"/>
      <c r="I327" s="48"/>
      <c r="J327" s="48"/>
      <c r="K327" s="48"/>
      <c r="L327" s="48"/>
      <c r="M327" s="48"/>
      <c r="N327" s="48"/>
      <c r="O327" s="48"/>
      <c r="P327" s="48"/>
      <c r="Q327" s="48"/>
      <c r="R327" s="48"/>
      <c r="S327" s="48"/>
      <c r="T327" s="48"/>
      <c r="U327" s="48"/>
      <c r="V327" s="48"/>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140"/>
      <c r="AS327" s="140"/>
    </row>
    <row r="328" spans="1:45">
      <c r="A328" s="48"/>
      <c r="B328" s="48"/>
      <c r="C328" s="48"/>
      <c r="D328" s="48"/>
      <c r="E328" s="48"/>
      <c r="F328" s="48"/>
      <c r="G328" s="48"/>
      <c r="H328" s="48"/>
      <c r="I328" s="48"/>
      <c r="J328" s="48"/>
      <c r="K328" s="48"/>
      <c r="L328" s="48"/>
      <c r="M328" s="48"/>
      <c r="N328" s="48"/>
      <c r="O328" s="48"/>
      <c r="P328" s="48"/>
      <c r="Q328" s="48"/>
      <c r="R328" s="48"/>
      <c r="S328" s="48"/>
      <c r="T328" s="48"/>
      <c r="U328" s="48"/>
      <c r="V328" s="48"/>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140"/>
      <c r="AS328" s="140"/>
    </row>
    <row r="329" spans="1:45">
      <c r="A329" s="48"/>
      <c r="B329" s="48"/>
      <c r="C329" s="48"/>
      <c r="D329" s="48"/>
      <c r="E329" s="48"/>
      <c r="F329" s="48"/>
      <c r="G329" s="48"/>
      <c r="H329" s="48"/>
      <c r="I329" s="48"/>
      <c r="J329" s="48"/>
      <c r="K329" s="48"/>
      <c r="L329" s="48"/>
      <c r="M329" s="48"/>
      <c r="N329" s="48"/>
      <c r="O329" s="48"/>
      <c r="P329" s="48"/>
      <c r="Q329" s="48"/>
      <c r="R329" s="48"/>
      <c r="S329" s="48"/>
      <c r="T329" s="48"/>
      <c r="U329" s="48"/>
      <c r="V329" s="48"/>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140"/>
      <c r="AS329" s="140"/>
    </row>
    <row r="330" spans="1:45">
      <c r="A330" s="48"/>
      <c r="B330" s="48"/>
      <c r="C330" s="48"/>
      <c r="D330" s="48"/>
      <c r="E330" s="48"/>
      <c r="F330" s="48"/>
      <c r="G330" s="48"/>
      <c r="H330" s="48"/>
      <c r="I330" s="48"/>
      <c r="J330" s="48"/>
      <c r="K330" s="48"/>
      <c r="L330" s="48"/>
      <c r="M330" s="48"/>
      <c r="N330" s="48"/>
      <c r="O330" s="48"/>
      <c r="P330" s="48"/>
      <c r="Q330" s="48"/>
      <c r="R330" s="48"/>
      <c r="S330" s="48"/>
      <c r="T330" s="48"/>
      <c r="U330" s="48"/>
      <c r="V330" s="48"/>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140"/>
      <c r="AS330" s="140"/>
    </row>
    <row r="331" spans="1:45">
      <c r="A331" s="48"/>
      <c r="B331" s="48"/>
      <c r="C331" s="48"/>
      <c r="D331" s="48"/>
      <c r="E331" s="48"/>
      <c r="F331" s="48"/>
      <c r="G331" s="48"/>
      <c r="H331" s="48"/>
      <c r="I331" s="48"/>
      <c r="J331" s="48"/>
      <c r="K331" s="48"/>
      <c r="L331" s="48"/>
      <c r="M331" s="48"/>
      <c r="N331" s="48"/>
      <c r="O331" s="48"/>
      <c r="P331" s="48"/>
      <c r="Q331" s="48"/>
      <c r="R331" s="48"/>
      <c r="S331" s="48"/>
      <c r="T331" s="48"/>
      <c r="U331" s="48"/>
      <c r="V331" s="48"/>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140"/>
      <c r="AS331" s="140"/>
    </row>
    <row r="332" spans="1:45">
      <c r="A332" s="48"/>
      <c r="B332" s="48"/>
      <c r="C332" s="48"/>
      <c r="D332" s="48"/>
      <c r="E332" s="48"/>
      <c r="F332" s="48"/>
      <c r="G332" s="48"/>
      <c r="H332" s="48"/>
      <c r="I332" s="48"/>
      <c r="J332" s="48"/>
      <c r="K332" s="48"/>
      <c r="L332" s="48"/>
      <c r="M332" s="48"/>
      <c r="N332" s="48"/>
      <c r="O332" s="48"/>
      <c r="P332" s="48"/>
      <c r="Q332" s="48"/>
      <c r="R332" s="48"/>
      <c r="S332" s="48"/>
      <c r="T332" s="48"/>
      <c r="U332" s="48"/>
      <c r="V332" s="48"/>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140"/>
      <c r="AS332" s="140"/>
    </row>
    <row r="333" spans="1:45">
      <c r="A333" s="48"/>
      <c r="B333" s="48"/>
      <c r="C333" s="48"/>
      <c r="D333" s="48"/>
      <c r="E333" s="48"/>
      <c r="F333" s="48"/>
      <c r="G333" s="48"/>
      <c r="H333" s="48"/>
      <c r="I333" s="48"/>
      <c r="J333" s="48"/>
      <c r="K333" s="48"/>
      <c r="L333" s="48"/>
      <c r="M333" s="48"/>
      <c r="N333" s="48"/>
      <c r="O333" s="48"/>
      <c r="P333" s="48"/>
      <c r="Q333" s="48"/>
      <c r="R333" s="48"/>
      <c r="S333" s="48"/>
      <c r="T333" s="48"/>
      <c r="U333" s="48"/>
      <c r="V333" s="48"/>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140"/>
      <c r="AS333" s="140"/>
    </row>
    <row r="334" spans="1:45">
      <c r="A334" s="48"/>
      <c r="B334" s="48"/>
      <c r="C334" s="48"/>
      <c r="D334" s="48"/>
      <c r="E334" s="48"/>
      <c r="F334" s="48"/>
      <c r="G334" s="48"/>
      <c r="H334" s="48"/>
      <c r="I334" s="48"/>
      <c r="J334" s="48"/>
      <c r="K334" s="48"/>
      <c r="L334" s="48"/>
      <c r="M334" s="48"/>
      <c r="N334" s="48"/>
      <c r="O334" s="48"/>
      <c r="P334" s="48"/>
      <c r="Q334" s="48"/>
      <c r="R334" s="48"/>
      <c r="S334" s="48"/>
      <c r="T334" s="48"/>
      <c r="U334" s="48"/>
      <c r="V334" s="48"/>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140"/>
      <c r="AS334" s="140"/>
    </row>
    <row r="335" spans="1:45">
      <c r="A335" s="48"/>
      <c r="B335" s="48"/>
      <c r="C335" s="48"/>
      <c r="D335" s="48"/>
      <c r="E335" s="48"/>
      <c r="F335" s="48"/>
      <c r="G335" s="48"/>
      <c r="H335" s="48"/>
      <c r="I335" s="48"/>
      <c r="J335" s="48"/>
      <c r="K335" s="48"/>
      <c r="L335" s="48"/>
      <c r="M335" s="48"/>
      <c r="N335" s="48"/>
      <c r="O335" s="48"/>
      <c r="P335" s="48"/>
      <c r="Q335" s="48"/>
      <c r="R335" s="48"/>
      <c r="S335" s="48"/>
      <c r="T335" s="48"/>
      <c r="U335" s="48"/>
      <c r="V335" s="48"/>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140"/>
      <c r="AS335" s="140"/>
    </row>
    <row r="336" spans="1:45">
      <c r="A336" s="48"/>
      <c r="B336" s="48"/>
      <c r="C336" s="48"/>
      <c r="D336" s="48"/>
      <c r="E336" s="48"/>
      <c r="F336" s="48"/>
      <c r="G336" s="48"/>
      <c r="H336" s="48"/>
      <c r="I336" s="48"/>
      <c r="J336" s="48"/>
      <c r="K336" s="48"/>
      <c r="L336" s="48"/>
      <c r="M336" s="48"/>
      <c r="N336" s="48"/>
      <c r="O336" s="48"/>
      <c r="P336" s="48"/>
      <c r="Q336" s="48"/>
      <c r="R336" s="48"/>
      <c r="S336" s="48"/>
      <c r="T336" s="48"/>
      <c r="U336" s="48"/>
      <c r="V336" s="48"/>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140"/>
      <c r="AS336" s="140"/>
    </row>
    <row r="337" spans="1:45">
      <c r="A337" s="48"/>
      <c r="B337" s="48"/>
      <c r="C337" s="48"/>
      <c r="D337" s="48"/>
      <c r="E337" s="48"/>
      <c r="F337" s="48"/>
      <c r="G337" s="48"/>
      <c r="H337" s="48"/>
      <c r="I337" s="48"/>
      <c r="J337" s="48"/>
      <c r="K337" s="48"/>
      <c r="L337" s="48"/>
      <c r="M337" s="48"/>
      <c r="N337" s="48"/>
      <c r="O337" s="48"/>
      <c r="P337" s="48"/>
      <c r="Q337" s="48"/>
      <c r="R337" s="48"/>
      <c r="S337" s="48"/>
      <c r="T337" s="48"/>
      <c r="U337" s="48"/>
      <c r="V337" s="48"/>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140"/>
      <c r="AS337" s="140"/>
    </row>
    <row r="338" spans="1:45">
      <c r="A338" s="48"/>
      <c r="B338" s="48"/>
      <c r="C338" s="48"/>
      <c r="D338" s="48"/>
      <c r="E338" s="48"/>
      <c r="F338" s="48"/>
      <c r="G338" s="48"/>
      <c r="H338" s="48"/>
      <c r="I338" s="48"/>
      <c r="J338" s="48"/>
      <c r="K338" s="48"/>
      <c r="L338" s="48"/>
      <c r="M338" s="48"/>
      <c r="N338" s="48"/>
      <c r="O338" s="48"/>
      <c r="P338" s="48"/>
      <c r="Q338" s="48"/>
      <c r="R338" s="48"/>
      <c r="S338" s="48"/>
      <c r="T338" s="48"/>
      <c r="U338" s="48"/>
      <c r="V338" s="48"/>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140"/>
      <c r="AS338" s="140"/>
    </row>
    <row r="339" spans="1:45">
      <c r="A339" s="48"/>
      <c r="B339" s="48"/>
      <c r="C339" s="48"/>
      <c r="D339" s="48"/>
      <c r="E339" s="48"/>
      <c r="F339" s="48"/>
      <c r="G339" s="48"/>
      <c r="H339" s="48"/>
      <c r="I339" s="48"/>
      <c r="J339" s="48"/>
      <c r="K339" s="48"/>
      <c r="L339" s="48"/>
      <c r="M339" s="48"/>
      <c r="N339" s="48"/>
      <c r="O339" s="48"/>
      <c r="P339" s="48"/>
      <c r="Q339" s="48"/>
      <c r="R339" s="48"/>
      <c r="S339" s="48"/>
      <c r="T339" s="48"/>
      <c r="U339" s="48"/>
      <c r="V339" s="48"/>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140"/>
      <c r="AS339" s="140"/>
    </row>
    <row r="340" spans="1:45">
      <c r="A340" s="48"/>
      <c r="B340" s="48"/>
      <c r="C340" s="48"/>
      <c r="D340" s="48"/>
      <c r="E340" s="48"/>
      <c r="F340" s="48"/>
      <c r="G340" s="48"/>
      <c r="H340" s="48"/>
      <c r="I340" s="48"/>
      <c r="J340" s="48"/>
      <c r="K340" s="48"/>
      <c r="L340" s="48"/>
      <c r="M340" s="48"/>
      <c r="N340" s="48"/>
      <c r="O340" s="48"/>
      <c r="P340" s="48"/>
      <c r="Q340" s="48"/>
      <c r="R340" s="48"/>
      <c r="S340" s="48"/>
      <c r="T340" s="48"/>
      <c r="U340" s="48"/>
      <c r="V340" s="48"/>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140"/>
      <c r="AS340" s="140"/>
    </row>
    <row r="341" spans="1:45">
      <c r="A341" s="48"/>
      <c r="B341" s="48"/>
      <c r="C341" s="48"/>
      <c r="D341" s="48"/>
      <c r="E341" s="48"/>
      <c r="F341" s="48"/>
      <c r="G341" s="48"/>
      <c r="H341" s="48"/>
      <c r="I341" s="48"/>
      <c r="J341" s="48"/>
      <c r="K341" s="48"/>
      <c r="L341" s="48"/>
      <c r="M341" s="48"/>
      <c r="N341" s="48"/>
      <c r="O341" s="48"/>
      <c r="P341" s="48"/>
      <c r="Q341" s="48"/>
      <c r="R341" s="48"/>
      <c r="S341" s="48"/>
      <c r="T341" s="48"/>
      <c r="U341" s="48"/>
      <c r="V341" s="48"/>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140"/>
      <c r="AS341" s="140"/>
    </row>
    <row r="342" spans="1:45">
      <c r="A342" s="48"/>
      <c r="B342" s="48"/>
      <c r="C342" s="48"/>
      <c r="D342" s="48"/>
      <c r="E342" s="48"/>
      <c r="F342" s="48"/>
      <c r="G342" s="48"/>
      <c r="H342" s="48"/>
      <c r="I342" s="48"/>
      <c r="J342" s="48"/>
      <c r="K342" s="48"/>
      <c r="L342" s="48"/>
      <c r="M342" s="48"/>
      <c r="N342" s="48"/>
      <c r="O342" s="48"/>
      <c r="P342" s="48"/>
      <c r="Q342" s="48"/>
      <c r="R342" s="48"/>
      <c r="S342" s="48"/>
      <c r="T342" s="48"/>
      <c r="U342" s="48"/>
      <c r="V342" s="48"/>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140"/>
      <c r="AS342" s="140"/>
    </row>
    <row r="343" spans="1:45">
      <c r="A343" s="48"/>
      <c r="B343" s="48"/>
      <c r="C343" s="48"/>
      <c r="D343" s="48"/>
      <c r="E343" s="48"/>
      <c r="F343" s="48"/>
      <c r="G343" s="48"/>
      <c r="H343" s="48"/>
      <c r="I343" s="48"/>
      <c r="J343" s="48"/>
      <c r="K343" s="48"/>
      <c r="L343" s="48"/>
      <c r="M343" s="48"/>
      <c r="N343" s="48"/>
      <c r="O343" s="48"/>
      <c r="P343" s="48"/>
      <c r="Q343" s="48"/>
      <c r="R343" s="48"/>
      <c r="S343" s="48"/>
      <c r="T343" s="48"/>
      <c r="U343" s="48"/>
      <c r="V343" s="48"/>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140"/>
      <c r="AS343" s="140"/>
    </row>
    <row r="344" spans="1:45">
      <c r="A344" s="48"/>
      <c r="B344" s="48"/>
      <c r="C344" s="48"/>
      <c r="D344" s="48"/>
      <c r="E344" s="48"/>
      <c r="F344" s="48"/>
      <c r="G344" s="48"/>
      <c r="H344" s="48"/>
      <c r="I344" s="48"/>
      <c r="J344" s="48"/>
      <c r="K344" s="48"/>
      <c r="L344" s="48"/>
      <c r="M344" s="48"/>
      <c r="N344" s="48"/>
      <c r="O344" s="48"/>
      <c r="P344" s="48"/>
      <c r="Q344" s="48"/>
      <c r="R344" s="48"/>
      <c r="S344" s="48"/>
      <c r="T344" s="48"/>
      <c r="U344" s="48"/>
      <c r="V344" s="48"/>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140"/>
      <c r="AS344" s="140"/>
    </row>
    <row r="345" spans="1:45">
      <c r="A345" s="48"/>
      <c r="B345" s="48"/>
      <c r="C345" s="48"/>
      <c r="D345" s="48"/>
      <c r="E345" s="48"/>
      <c r="F345" s="48"/>
      <c r="G345" s="48"/>
      <c r="H345" s="48"/>
      <c r="I345" s="48"/>
      <c r="J345" s="48"/>
      <c r="K345" s="48"/>
      <c r="L345" s="48"/>
      <c r="M345" s="48"/>
      <c r="N345" s="48"/>
      <c r="O345" s="48"/>
      <c r="P345" s="48"/>
      <c r="Q345" s="48"/>
      <c r="R345" s="48"/>
      <c r="S345" s="48"/>
      <c r="T345" s="48"/>
      <c r="U345" s="48"/>
      <c r="V345" s="48"/>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140"/>
      <c r="AS345" s="140"/>
    </row>
    <row r="346" spans="1:45">
      <c r="A346" s="48"/>
      <c r="B346" s="48"/>
      <c r="C346" s="48"/>
      <c r="D346" s="48"/>
      <c r="E346" s="48"/>
      <c r="F346" s="48"/>
      <c r="G346" s="48"/>
      <c r="H346" s="48"/>
      <c r="I346" s="48"/>
      <c r="J346" s="48"/>
      <c r="K346" s="48"/>
      <c r="L346" s="48"/>
      <c r="M346" s="48"/>
      <c r="N346" s="48"/>
      <c r="O346" s="48"/>
      <c r="P346" s="48"/>
      <c r="Q346" s="48"/>
      <c r="R346" s="48"/>
      <c r="S346" s="48"/>
      <c r="T346" s="48"/>
      <c r="U346" s="48"/>
      <c r="V346" s="48"/>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140"/>
      <c r="AS346" s="140"/>
    </row>
    <row r="347" spans="1:45">
      <c r="A347" s="48"/>
      <c r="B347" s="48"/>
      <c r="C347" s="48"/>
      <c r="D347" s="48"/>
      <c r="E347" s="48"/>
      <c r="F347" s="48"/>
      <c r="G347" s="48"/>
      <c r="H347" s="48"/>
      <c r="I347" s="48"/>
      <c r="J347" s="48"/>
      <c r="K347" s="48"/>
      <c r="L347" s="48"/>
      <c r="M347" s="48"/>
      <c r="N347" s="48"/>
      <c r="O347" s="48"/>
      <c r="P347" s="48"/>
      <c r="Q347" s="48"/>
      <c r="R347" s="48"/>
      <c r="S347" s="48"/>
      <c r="T347" s="48"/>
      <c r="U347" s="48"/>
      <c r="V347" s="48"/>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140"/>
      <c r="AS347" s="140"/>
    </row>
    <row r="348" spans="1:45">
      <c r="A348" s="48"/>
      <c r="B348" s="48"/>
      <c r="C348" s="48"/>
      <c r="D348" s="48"/>
      <c r="E348" s="48"/>
      <c r="F348" s="48"/>
      <c r="G348" s="48"/>
      <c r="H348" s="48"/>
      <c r="I348" s="48"/>
      <c r="J348" s="48"/>
      <c r="K348" s="48"/>
      <c r="L348" s="48"/>
      <c r="M348" s="48"/>
      <c r="N348" s="48"/>
      <c r="O348" s="48"/>
      <c r="P348" s="48"/>
      <c r="Q348" s="48"/>
      <c r="R348" s="48"/>
      <c r="S348" s="48"/>
      <c r="T348" s="48"/>
      <c r="U348" s="48"/>
      <c r="V348" s="48"/>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140"/>
      <c r="AS348" s="140"/>
    </row>
    <row r="349" spans="1:45">
      <c r="A349" s="48"/>
      <c r="B349" s="48"/>
      <c r="C349" s="48"/>
      <c r="D349" s="48"/>
      <c r="E349" s="48"/>
      <c r="F349" s="48"/>
      <c r="G349" s="48"/>
      <c r="H349" s="48"/>
      <c r="I349" s="48"/>
      <c r="J349" s="48"/>
      <c r="K349" s="48"/>
      <c r="L349" s="48"/>
      <c r="M349" s="48"/>
      <c r="N349" s="48"/>
      <c r="O349" s="48"/>
      <c r="P349" s="48"/>
      <c r="Q349" s="48"/>
      <c r="R349" s="48"/>
      <c r="S349" s="48"/>
      <c r="T349" s="48"/>
      <c r="U349" s="48"/>
      <c r="V349" s="48"/>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140"/>
      <c r="AS349" s="140"/>
    </row>
    <row r="350" spans="1:45">
      <c r="A350" s="48"/>
      <c r="B350" s="48"/>
      <c r="C350" s="48"/>
      <c r="D350" s="48"/>
      <c r="E350" s="48"/>
      <c r="F350" s="48"/>
      <c r="G350" s="48"/>
      <c r="H350" s="48"/>
      <c r="I350" s="48"/>
      <c r="J350" s="48"/>
      <c r="K350" s="48"/>
      <c r="L350" s="48"/>
      <c r="M350" s="48"/>
      <c r="N350" s="48"/>
      <c r="O350" s="48"/>
      <c r="P350" s="48"/>
      <c r="Q350" s="48"/>
      <c r="R350" s="48"/>
      <c r="S350" s="48"/>
      <c r="T350" s="48"/>
      <c r="U350" s="48"/>
      <c r="V350" s="48"/>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140"/>
      <c r="AS350" s="140"/>
    </row>
    <row r="351" spans="1:45">
      <c r="A351" s="48"/>
      <c r="B351" s="48"/>
      <c r="C351" s="48"/>
      <c r="D351" s="48"/>
      <c r="E351" s="48"/>
      <c r="F351" s="48"/>
      <c r="G351" s="48"/>
      <c r="H351" s="48"/>
      <c r="I351" s="48"/>
      <c r="J351" s="48"/>
      <c r="K351" s="48"/>
      <c r="L351" s="48"/>
      <c r="M351" s="48"/>
      <c r="N351" s="48"/>
      <c r="O351" s="48"/>
      <c r="P351" s="48"/>
      <c r="Q351" s="48"/>
      <c r="R351" s="48"/>
      <c r="S351" s="48"/>
      <c r="T351" s="48"/>
      <c r="U351" s="48"/>
      <c r="V351" s="48"/>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140"/>
      <c r="AS351" s="140"/>
    </row>
    <row r="352" spans="1:45">
      <c r="A352" s="48"/>
      <c r="B352" s="48"/>
      <c r="C352" s="48"/>
      <c r="D352" s="48"/>
      <c r="E352" s="48"/>
      <c r="F352" s="48"/>
      <c r="G352" s="48"/>
      <c r="H352" s="48"/>
      <c r="I352" s="48"/>
      <c r="J352" s="48"/>
      <c r="K352" s="48"/>
      <c r="L352" s="48"/>
      <c r="M352" s="48"/>
      <c r="N352" s="48"/>
      <c r="O352" s="48"/>
      <c r="P352" s="48"/>
      <c r="Q352" s="48"/>
      <c r="R352" s="48"/>
      <c r="S352" s="48"/>
      <c r="T352" s="48"/>
      <c r="U352" s="48"/>
      <c r="V352" s="48"/>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140"/>
      <c r="AS352" s="140"/>
    </row>
    <row r="353" spans="1:45">
      <c r="A353" s="48"/>
      <c r="B353" s="48"/>
      <c r="C353" s="48"/>
      <c r="D353" s="48"/>
      <c r="E353" s="48"/>
      <c r="F353" s="48"/>
      <c r="G353" s="48"/>
      <c r="H353" s="48"/>
      <c r="I353" s="48"/>
      <c r="J353" s="48"/>
      <c r="K353" s="48"/>
      <c r="L353" s="48"/>
      <c r="M353" s="48"/>
      <c r="N353" s="48"/>
      <c r="O353" s="48"/>
      <c r="P353" s="48"/>
      <c r="Q353" s="48"/>
      <c r="R353" s="48"/>
      <c r="S353" s="48"/>
      <c r="T353" s="48"/>
      <c r="U353" s="48"/>
      <c r="V353" s="48"/>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140"/>
      <c r="AS353" s="140"/>
    </row>
    <row r="354" spans="1:45">
      <c r="A354" s="48"/>
      <c r="B354" s="48"/>
      <c r="C354" s="48"/>
      <c r="D354" s="48"/>
      <c r="E354" s="48"/>
      <c r="F354" s="48"/>
      <c r="G354" s="48"/>
      <c r="H354" s="48"/>
      <c r="I354" s="48"/>
      <c r="J354" s="48"/>
      <c r="K354" s="48"/>
      <c r="L354" s="48"/>
      <c r="M354" s="48"/>
      <c r="N354" s="48"/>
      <c r="O354" s="48"/>
      <c r="P354" s="48"/>
      <c r="Q354" s="48"/>
      <c r="R354" s="48"/>
      <c r="S354" s="48"/>
      <c r="T354" s="48"/>
      <c r="U354" s="48"/>
      <c r="V354" s="48"/>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140"/>
      <c r="AS354" s="140"/>
    </row>
    <row r="355" spans="1:45">
      <c r="A355" s="48"/>
      <c r="B355" s="48"/>
      <c r="C355" s="48"/>
      <c r="D355" s="48"/>
      <c r="E355" s="48"/>
      <c r="F355" s="48"/>
      <c r="G355" s="48"/>
      <c r="H355" s="48"/>
      <c r="I355" s="48"/>
      <c r="J355" s="48"/>
      <c r="K355" s="48"/>
      <c r="L355" s="48"/>
      <c r="M355" s="48"/>
      <c r="N355" s="48"/>
      <c r="O355" s="48"/>
      <c r="P355" s="48"/>
      <c r="Q355" s="48"/>
      <c r="R355" s="48"/>
      <c r="S355" s="48"/>
      <c r="T355" s="48"/>
      <c r="U355" s="48"/>
      <c r="V355" s="48"/>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140"/>
      <c r="AS355" s="140"/>
    </row>
    <row r="356" spans="1:45">
      <c r="A356" s="48"/>
      <c r="B356" s="48"/>
      <c r="C356" s="48"/>
      <c r="D356" s="48"/>
      <c r="E356" s="48"/>
      <c r="F356" s="48"/>
      <c r="G356" s="48"/>
      <c r="H356" s="48"/>
      <c r="I356" s="48"/>
      <c r="J356" s="48"/>
      <c r="K356" s="48"/>
      <c r="L356" s="48"/>
      <c r="M356" s="48"/>
      <c r="N356" s="48"/>
      <c r="O356" s="48"/>
      <c r="P356" s="48"/>
      <c r="Q356" s="48"/>
      <c r="R356" s="48"/>
      <c r="S356" s="48"/>
      <c r="T356" s="48"/>
      <c r="U356" s="48"/>
      <c r="V356" s="48"/>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140"/>
      <c r="AS356" s="140"/>
    </row>
    <row r="357" spans="1:45">
      <c r="A357" s="48"/>
      <c r="B357" s="48"/>
      <c r="C357" s="48"/>
      <c r="D357" s="48"/>
      <c r="E357" s="48"/>
      <c r="F357" s="48"/>
      <c r="G357" s="48"/>
      <c r="H357" s="48"/>
      <c r="I357" s="48"/>
      <c r="J357" s="48"/>
      <c r="K357" s="48"/>
      <c r="L357" s="48"/>
      <c r="M357" s="48"/>
      <c r="N357" s="48"/>
      <c r="O357" s="48"/>
      <c r="P357" s="48"/>
      <c r="Q357" s="48"/>
      <c r="R357" s="48"/>
      <c r="S357" s="48"/>
      <c r="T357" s="48"/>
      <c r="U357" s="48"/>
      <c r="V357" s="48"/>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140"/>
      <c r="AS357" s="140"/>
    </row>
    <row r="358" spans="1:45">
      <c r="A358" s="48"/>
      <c r="B358" s="48"/>
      <c r="C358" s="48"/>
      <c r="D358" s="48"/>
      <c r="E358" s="48"/>
      <c r="F358" s="48"/>
      <c r="G358" s="48"/>
      <c r="H358" s="48"/>
      <c r="I358" s="48"/>
      <c r="J358" s="48"/>
      <c r="K358" s="48"/>
      <c r="L358" s="48"/>
      <c r="M358" s="48"/>
      <c r="N358" s="48"/>
      <c r="O358" s="48"/>
      <c r="P358" s="48"/>
      <c r="Q358" s="48"/>
      <c r="R358" s="48"/>
      <c r="S358" s="48"/>
      <c r="T358" s="48"/>
      <c r="U358" s="48"/>
      <c r="V358" s="48"/>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140"/>
      <c r="AS358" s="140"/>
    </row>
    <row r="359" spans="1:45">
      <c r="A359" s="48"/>
      <c r="B359" s="48"/>
      <c r="C359" s="48"/>
      <c r="D359" s="48"/>
      <c r="E359" s="48"/>
      <c r="F359" s="48"/>
      <c r="G359" s="48"/>
      <c r="H359" s="48"/>
      <c r="I359" s="48"/>
      <c r="J359" s="48"/>
      <c r="K359" s="48"/>
      <c r="L359" s="48"/>
      <c r="M359" s="48"/>
      <c r="N359" s="48"/>
      <c r="O359" s="48"/>
      <c r="P359" s="48"/>
      <c r="Q359" s="48"/>
      <c r="R359" s="48"/>
      <c r="S359" s="48"/>
      <c r="T359" s="48"/>
      <c r="U359" s="48"/>
      <c r="V359" s="48"/>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140"/>
      <c r="AS359" s="140"/>
    </row>
    <row r="360" spans="1:45">
      <c r="A360" s="48"/>
      <c r="B360" s="48"/>
      <c r="C360" s="48"/>
      <c r="D360" s="48"/>
      <c r="E360" s="48"/>
      <c r="F360" s="48"/>
      <c r="G360" s="48"/>
      <c r="H360" s="48"/>
      <c r="I360" s="48"/>
      <c r="J360" s="48"/>
      <c r="K360" s="48"/>
      <c r="L360" s="48"/>
      <c r="M360" s="48"/>
      <c r="N360" s="48"/>
      <c r="O360" s="48"/>
      <c r="P360" s="48"/>
      <c r="Q360" s="48"/>
      <c r="R360" s="48"/>
      <c r="S360" s="48"/>
      <c r="T360" s="48"/>
      <c r="U360" s="48"/>
      <c r="V360" s="48"/>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140"/>
      <c r="AS360" s="140"/>
    </row>
    <row r="361" spans="1:45">
      <c r="A361" s="48"/>
      <c r="B361" s="48"/>
      <c r="C361" s="48"/>
      <c r="D361" s="48"/>
      <c r="E361" s="48"/>
      <c r="F361" s="48"/>
      <c r="G361" s="48"/>
      <c r="H361" s="48"/>
      <c r="I361" s="48"/>
      <c r="J361" s="48"/>
      <c r="K361" s="48"/>
      <c r="L361" s="48"/>
      <c r="M361" s="48"/>
      <c r="N361" s="48"/>
      <c r="O361" s="48"/>
      <c r="P361" s="48"/>
      <c r="Q361" s="48"/>
      <c r="R361" s="48"/>
      <c r="S361" s="48"/>
      <c r="T361" s="48"/>
      <c r="U361" s="48"/>
      <c r="V361" s="48"/>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140"/>
      <c r="AS361" s="140"/>
    </row>
    <row r="362" spans="1:45">
      <c r="A362" s="48"/>
      <c r="B362" s="48"/>
      <c r="C362" s="48"/>
      <c r="D362" s="48"/>
      <c r="E362" s="48"/>
      <c r="F362" s="48"/>
      <c r="G362" s="48"/>
      <c r="H362" s="48"/>
      <c r="I362" s="48"/>
      <c r="J362" s="48"/>
      <c r="K362" s="48"/>
      <c r="L362" s="48"/>
      <c r="M362" s="48"/>
      <c r="N362" s="48"/>
      <c r="O362" s="48"/>
      <c r="P362" s="48"/>
      <c r="Q362" s="48"/>
      <c r="R362" s="48"/>
      <c r="S362" s="48"/>
      <c r="T362" s="48"/>
      <c r="U362" s="48"/>
      <c r="V362" s="48"/>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140"/>
      <c r="AS362" s="140"/>
    </row>
    <row r="363" spans="1:45">
      <c r="A363" s="48"/>
      <c r="B363" s="48"/>
      <c r="C363" s="48"/>
      <c r="D363" s="48"/>
      <c r="E363" s="48"/>
      <c r="F363" s="48"/>
      <c r="G363" s="48"/>
      <c r="H363" s="48"/>
      <c r="I363" s="48"/>
      <c r="J363" s="48"/>
      <c r="K363" s="48"/>
      <c r="L363" s="48"/>
      <c r="M363" s="48"/>
      <c r="N363" s="48"/>
      <c r="O363" s="48"/>
      <c r="P363" s="48"/>
      <c r="Q363" s="48"/>
      <c r="R363" s="48"/>
      <c r="S363" s="48"/>
      <c r="T363" s="48"/>
      <c r="U363" s="48"/>
      <c r="V363" s="48"/>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140"/>
      <c r="AS363" s="140"/>
    </row>
    <row r="364" spans="1:45">
      <c r="A364" s="48"/>
      <c r="B364" s="48"/>
      <c r="C364" s="48"/>
      <c r="D364" s="48"/>
      <c r="E364" s="48"/>
      <c r="F364" s="48"/>
      <c r="G364" s="48"/>
      <c r="H364" s="48"/>
      <c r="I364" s="48"/>
      <c r="J364" s="48"/>
      <c r="K364" s="48"/>
      <c r="L364" s="48"/>
      <c r="M364" s="48"/>
      <c r="N364" s="48"/>
      <c r="O364" s="48"/>
      <c r="P364" s="48"/>
      <c r="Q364" s="48"/>
      <c r="R364" s="48"/>
      <c r="S364" s="48"/>
      <c r="T364" s="48"/>
      <c r="U364" s="48"/>
      <c r="V364" s="48"/>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140"/>
      <c r="AS364" s="140"/>
    </row>
    <row r="365" spans="1:45">
      <c r="A365" s="48"/>
      <c r="B365" s="48"/>
      <c r="C365" s="48"/>
      <c r="D365" s="48"/>
      <c r="E365" s="48"/>
      <c r="F365" s="48"/>
      <c r="G365" s="48"/>
      <c r="H365" s="48"/>
      <c r="I365" s="48"/>
      <c r="J365" s="48"/>
      <c r="K365" s="48"/>
      <c r="L365" s="48"/>
      <c r="M365" s="48"/>
      <c r="N365" s="48"/>
      <c r="O365" s="48"/>
      <c r="P365" s="48"/>
      <c r="Q365" s="48"/>
      <c r="R365" s="48"/>
      <c r="S365" s="48"/>
      <c r="T365" s="48"/>
      <c r="U365" s="48"/>
      <c r="V365" s="48"/>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140"/>
      <c r="AS365" s="140"/>
    </row>
    <row r="366" spans="1:45">
      <c r="A366" s="48"/>
      <c r="B366" s="48"/>
      <c r="C366" s="48"/>
      <c r="D366" s="48"/>
      <c r="E366" s="48"/>
      <c r="F366" s="48"/>
      <c r="G366" s="48"/>
      <c r="H366" s="48"/>
      <c r="I366" s="48"/>
      <c r="J366" s="48"/>
      <c r="K366" s="48"/>
      <c r="L366" s="48"/>
      <c r="M366" s="48"/>
      <c r="N366" s="48"/>
      <c r="O366" s="48"/>
      <c r="P366" s="48"/>
      <c r="Q366" s="48"/>
      <c r="R366" s="48"/>
      <c r="S366" s="48"/>
      <c r="T366" s="48"/>
      <c r="U366" s="48"/>
      <c r="V366" s="48"/>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140"/>
      <c r="AS366" s="140"/>
    </row>
    <row r="367" spans="1:45">
      <c r="A367" s="48"/>
      <c r="B367" s="48"/>
      <c r="C367" s="48"/>
      <c r="D367" s="48"/>
      <c r="E367" s="48"/>
      <c r="F367" s="48"/>
      <c r="G367" s="48"/>
      <c r="H367" s="48"/>
      <c r="I367" s="48"/>
      <c r="J367" s="48"/>
      <c r="K367" s="48"/>
      <c r="L367" s="48"/>
      <c r="M367" s="48"/>
      <c r="N367" s="48"/>
      <c r="O367" s="48"/>
      <c r="P367" s="48"/>
      <c r="Q367" s="48"/>
      <c r="R367" s="48"/>
      <c r="S367" s="48"/>
      <c r="T367" s="48"/>
      <c r="U367" s="48"/>
      <c r="V367" s="48"/>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140"/>
      <c r="AS367" s="140"/>
    </row>
    <row r="368" spans="1:45">
      <c r="A368" s="48"/>
      <c r="B368" s="48"/>
      <c r="C368" s="48"/>
      <c r="D368" s="48"/>
      <c r="E368" s="48"/>
      <c r="F368" s="48"/>
      <c r="G368" s="48"/>
      <c r="H368" s="48"/>
      <c r="I368" s="48"/>
      <c r="J368" s="48"/>
      <c r="K368" s="48"/>
      <c r="L368" s="48"/>
      <c r="M368" s="48"/>
      <c r="N368" s="48"/>
      <c r="O368" s="48"/>
      <c r="P368" s="48"/>
      <c r="Q368" s="48"/>
      <c r="R368" s="48"/>
      <c r="S368" s="48"/>
      <c r="T368" s="48"/>
      <c r="U368" s="48"/>
      <c r="V368" s="48"/>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140"/>
      <c r="AS368" s="140"/>
    </row>
    <row r="369" spans="1:45">
      <c r="A369" s="48"/>
      <c r="B369" s="48"/>
      <c r="C369" s="48"/>
      <c r="D369" s="48"/>
      <c r="E369" s="48"/>
      <c r="F369" s="48"/>
      <c r="G369" s="48"/>
      <c r="H369" s="48"/>
      <c r="I369" s="48"/>
      <c r="J369" s="48"/>
      <c r="K369" s="48"/>
      <c r="L369" s="48"/>
      <c r="M369" s="48"/>
      <c r="N369" s="48"/>
      <c r="O369" s="48"/>
      <c r="P369" s="48"/>
      <c r="Q369" s="48"/>
      <c r="R369" s="48"/>
      <c r="S369" s="48"/>
      <c r="T369" s="48"/>
      <c r="U369" s="48"/>
      <c r="V369" s="48"/>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140"/>
      <c r="AS369" s="140"/>
    </row>
    <row r="370" spans="1:45">
      <c r="A370" s="48"/>
      <c r="B370" s="48"/>
      <c r="C370" s="48"/>
      <c r="D370" s="48"/>
      <c r="E370" s="48"/>
      <c r="F370" s="48"/>
      <c r="G370" s="48"/>
      <c r="H370" s="48"/>
      <c r="I370" s="48"/>
      <c r="J370" s="48"/>
      <c r="K370" s="48"/>
      <c r="L370" s="48"/>
      <c r="M370" s="48"/>
      <c r="N370" s="48"/>
      <c r="O370" s="48"/>
      <c r="P370" s="48"/>
      <c r="Q370" s="48"/>
      <c r="R370" s="48"/>
      <c r="S370" s="48"/>
      <c r="T370" s="48"/>
      <c r="U370" s="48"/>
      <c r="V370" s="48"/>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140"/>
      <c r="AS370" s="140"/>
    </row>
    <row r="371" spans="1:45">
      <c r="A371" s="48"/>
      <c r="B371" s="48"/>
      <c r="C371" s="48"/>
      <c r="D371" s="48"/>
      <c r="E371" s="48"/>
      <c r="F371" s="48"/>
      <c r="G371" s="48"/>
      <c r="H371" s="48"/>
      <c r="I371" s="48"/>
      <c r="J371" s="48"/>
      <c r="K371" s="48"/>
      <c r="L371" s="48"/>
      <c r="M371" s="48"/>
      <c r="N371" s="48"/>
      <c r="O371" s="48"/>
      <c r="P371" s="48"/>
      <c r="Q371" s="48"/>
      <c r="R371" s="48"/>
      <c r="S371" s="48"/>
      <c r="T371" s="48"/>
      <c r="U371" s="48"/>
      <c r="V371" s="48"/>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140"/>
      <c r="AS371" s="140"/>
    </row>
    <row r="372" spans="1:45">
      <c r="A372" s="48"/>
      <c r="B372" s="48"/>
      <c r="C372" s="48"/>
      <c r="D372" s="48"/>
      <c r="E372" s="48"/>
      <c r="F372" s="48"/>
      <c r="G372" s="48"/>
      <c r="H372" s="48"/>
      <c r="I372" s="48"/>
      <c r="J372" s="48"/>
      <c r="K372" s="48"/>
      <c r="L372" s="48"/>
      <c r="M372" s="48"/>
      <c r="N372" s="48"/>
      <c r="O372" s="48"/>
      <c r="P372" s="48"/>
      <c r="Q372" s="48"/>
      <c r="R372" s="48"/>
      <c r="S372" s="48"/>
      <c r="T372" s="48"/>
      <c r="U372" s="48"/>
      <c r="V372" s="48"/>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140"/>
      <c r="AS372" s="140"/>
    </row>
    <row r="373" spans="1:45">
      <c r="A373" s="48"/>
      <c r="B373" s="48"/>
      <c r="C373" s="48"/>
      <c r="D373" s="48"/>
      <c r="E373" s="48"/>
      <c r="F373" s="48"/>
      <c r="G373" s="48"/>
      <c r="H373" s="48"/>
      <c r="I373" s="48"/>
      <c r="J373" s="48"/>
      <c r="K373" s="48"/>
      <c r="L373" s="48"/>
      <c r="M373" s="48"/>
      <c r="N373" s="48"/>
      <c r="O373" s="48"/>
      <c r="P373" s="48"/>
      <c r="Q373" s="48"/>
      <c r="R373" s="48"/>
      <c r="S373" s="48"/>
      <c r="T373" s="48"/>
      <c r="U373" s="48"/>
      <c r="V373" s="48"/>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140"/>
      <c r="AS373" s="140"/>
    </row>
    <row r="374" spans="1:45">
      <c r="A374" s="48"/>
      <c r="B374" s="48"/>
      <c r="C374" s="48"/>
      <c r="D374" s="48"/>
      <c r="E374" s="48"/>
      <c r="F374" s="48"/>
      <c r="G374" s="48"/>
      <c r="H374" s="48"/>
      <c r="I374" s="48"/>
      <c r="J374" s="48"/>
      <c r="K374" s="48"/>
      <c r="L374" s="48"/>
      <c r="M374" s="48"/>
      <c r="N374" s="48"/>
      <c r="O374" s="48"/>
      <c r="P374" s="48"/>
      <c r="Q374" s="48"/>
      <c r="R374" s="48"/>
      <c r="S374" s="48"/>
      <c r="T374" s="48"/>
      <c r="U374" s="48"/>
      <c r="V374" s="48"/>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140"/>
      <c r="AS374" s="140"/>
    </row>
    <row r="375" spans="1:45">
      <c r="A375" s="48"/>
      <c r="B375" s="48"/>
      <c r="C375" s="48"/>
      <c r="D375" s="48"/>
      <c r="E375" s="48"/>
      <c r="F375" s="48"/>
      <c r="G375" s="48"/>
      <c r="H375" s="48"/>
      <c r="I375" s="48"/>
      <c r="J375" s="48"/>
      <c r="K375" s="48"/>
      <c r="L375" s="48"/>
      <c r="M375" s="48"/>
      <c r="N375" s="48"/>
      <c r="O375" s="48"/>
      <c r="P375" s="48"/>
      <c r="Q375" s="48"/>
      <c r="R375" s="48"/>
      <c r="S375" s="48"/>
      <c r="T375" s="48"/>
      <c r="U375" s="48"/>
      <c r="V375" s="48"/>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140"/>
      <c r="AS375" s="140"/>
    </row>
    <row r="376" spans="1:45">
      <c r="A376" s="48"/>
      <c r="B376" s="48"/>
      <c r="C376" s="48"/>
      <c r="D376" s="48"/>
      <c r="E376" s="48"/>
      <c r="F376" s="48"/>
      <c r="G376" s="48"/>
      <c r="H376" s="48"/>
      <c r="I376" s="48"/>
      <c r="J376" s="48"/>
      <c r="K376" s="48"/>
      <c r="L376" s="48"/>
      <c r="M376" s="48"/>
      <c r="N376" s="48"/>
      <c r="O376" s="48"/>
      <c r="P376" s="48"/>
      <c r="Q376" s="48"/>
      <c r="R376" s="48"/>
      <c r="S376" s="48"/>
      <c r="T376" s="48"/>
      <c r="U376" s="48"/>
      <c r="V376" s="48"/>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140"/>
      <c r="AS376" s="140"/>
    </row>
    <row r="377" spans="1:45">
      <c r="A377" s="48"/>
      <c r="B377" s="48"/>
      <c r="C377" s="48"/>
      <c r="D377" s="48"/>
      <c r="E377" s="48"/>
      <c r="F377" s="48"/>
      <c r="G377" s="48"/>
      <c r="H377" s="48"/>
      <c r="I377" s="48"/>
      <c r="J377" s="48"/>
      <c r="K377" s="48"/>
      <c r="L377" s="48"/>
      <c r="M377" s="48"/>
      <c r="N377" s="48"/>
      <c r="O377" s="48"/>
      <c r="P377" s="48"/>
      <c r="Q377" s="48"/>
      <c r="R377" s="48"/>
      <c r="S377" s="48"/>
      <c r="T377" s="48"/>
      <c r="U377" s="48"/>
      <c r="V377" s="48"/>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140"/>
      <c r="AS377" s="140"/>
    </row>
    <row r="378" spans="1:45">
      <c r="A378" s="48"/>
      <c r="B378" s="48"/>
      <c r="C378" s="48"/>
      <c r="D378" s="48"/>
      <c r="E378" s="48"/>
      <c r="F378" s="48"/>
      <c r="G378" s="48"/>
      <c r="H378" s="48"/>
      <c r="I378" s="48"/>
      <c r="J378" s="48"/>
      <c r="K378" s="48"/>
      <c r="L378" s="48"/>
      <c r="M378" s="48"/>
      <c r="N378" s="48"/>
      <c r="O378" s="48"/>
      <c r="P378" s="48"/>
      <c r="Q378" s="48"/>
      <c r="R378" s="48"/>
      <c r="S378" s="48"/>
      <c r="T378" s="48"/>
      <c r="U378" s="48"/>
      <c r="V378" s="48"/>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140"/>
      <c r="AS378" s="140"/>
    </row>
    <row r="379" spans="1:45">
      <c r="A379" s="48"/>
      <c r="B379" s="48"/>
      <c r="C379" s="48"/>
      <c r="D379" s="48"/>
      <c r="E379" s="48"/>
      <c r="F379" s="48"/>
      <c r="G379" s="48"/>
      <c r="H379" s="48"/>
      <c r="I379" s="48"/>
      <c r="J379" s="48"/>
      <c r="K379" s="48"/>
      <c r="L379" s="48"/>
      <c r="M379" s="48"/>
      <c r="N379" s="48"/>
      <c r="O379" s="48"/>
      <c r="P379" s="48"/>
      <c r="Q379" s="48"/>
      <c r="R379" s="48"/>
      <c r="S379" s="48"/>
      <c r="T379" s="48"/>
      <c r="U379" s="48"/>
      <c r="V379" s="48"/>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140"/>
      <c r="AS379" s="140"/>
    </row>
    <row r="380" spans="1:45">
      <c r="A380" s="48"/>
      <c r="B380" s="48"/>
      <c r="C380" s="48"/>
      <c r="D380" s="48"/>
      <c r="E380" s="48"/>
      <c r="F380" s="48"/>
      <c r="G380" s="48"/>
      <c r="H380" s="48"/>
      <c r="I380" s="48"/>
      <c r="J380" s="48"/>
      <c r="K380" s="48"/>
      <c r="L380" s="48"/>
      <c r="M380" s="48"/>
      <c r="N380" s="48"/>
      <c r="O380" s="48"/>
      <c r="P380" s="48"/>
      <c r="Q380" s="48"/>
      <c r="R380" s="48"/>
      <c r="S380" s="48"/>
      <c r="T380" s="48"/>
      <c r="U380" s="48"/>
      <c r="V380" s="48"/>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140"/>
      <c r="AS380" s="140"/>
    </row>
    <row r="381" spans="1:45">
      <c r="A381" s="48"/>
      <c r="B381" s="48"/>
      <c r="C381" s="48"/>
      <c r="D381" s="48"/>
      <c r="E381" s="48"/>
      <c r="F381" s="48"/>
      <c r="G381" s="48"/>
      <c r="H381" s="48"/>
      <c r="I381" s="48"/>
      <c r="J381" s="48"/>
      <c r="K381" s="48"/>
      <c r="L381" s="48"/>
      <c r="M381" s="48"/>
      <c r="N381" s="48"/>
      <c r="O381" s="48"/>
      <c r="P381" s="48"/>
      <c r="Q381" s="48"/>
      <c r="R381" s="48"/>
      <c r="S381" s="48"/>
      <c r="T381" s="48"/>
      <c r="U381" s="48"/>
      <c r="V381" s="48"/>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140"/>
      <c r="AS381" s="140"/>
    </row>
    <row r="382" spans="1:45">
      <c r="A382" s="48"/>
      <c r="B382" s="48"/>
      <c r="C382" s="48"/>
      <c r="D382" s="48"/>
      <c r="E382" s="48"/>
      <c r="F382" s="48"/>
      <c r="G382" s="48"/>
      <c r="H382" s="48"/>
      <c r="I382" s="48"/>
      <c r="J382" s="48"/>
      <c r="K382" s="48"/>
      <c r="L382" s="48"/>
      <c r="M382" s="48"/>
      <c r="N382" s="48"/>
      <c r="O382" s="48"/>
      <c r="P382" s="48"/>
      <c r="Q382" s="48"/>
      <c r="R382" s="48"/>
      <c r="S382" s="48"/>
      <c r="T382" s="48"/>
      <c r="U382" s="48"/>
      <c r="V382" s="48"/>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140"/>
      <c r="AS382" s="140"/>
    </row>
    <row r="383" spans="1:45">
      <c r="A383" s="48"/>
      <c r="B383" s="48"/>
      <c r="C383" s="48"/>
      <c r="D383" s="48"/>
      <c r="E383" s="48"/>
      <c r="F383" s="48"/>
      <c r="G383" s="48"/>
      <c r="H383" s="48"/>
      <c r="I383" s="48"/>
      <c r="J383" s="48"/>
      <c r="K383" s="48"/>
      <c r="L383" s="48"/>
      <c r="M383" s="48"/>
      <c r="N383" s="48"/>
      <c r="O383" s="48"/>
      <c r="P383" s="48"/>
      <c r="Q383" s="48"/>
      <c r="R383" s="48"/>
      <c r="S383" s="48"/>
      <c r="T383" s="48"/>
      <c r="U383" s="48"/>
      <c r="V383" s="48"/>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140"/>
      <c r="AS383" s="140"/>
    </row>
    <row r="384" spans="1:45">
      <c r="A384" s="48"/>
      <c r="B384" s="48"/>
      <c r="C384" s="48"/>
      <c r="D384" s="48"/>
      <c r="E384" s="48"/>
      <c r="F384" s="48"/>
      <c r="G384" s="48"/>
      <c r="H384" s="48"/>
      <c r="I384" s="48"/>
      <c r="J384" s="48"/>
      <c r="K384" s="48"/>
      <c r="L384" s="48"/>
      <c r="M384" s="48"/>
      <c r="N384" s="48"/>
      <c r="O384" s="48"/>
      <c r="P384" s="48"/>
      <c r="Q384" s="48"/>
      <c r="R384" s="48"/>
      <c r="S384" s="48"/>
      <c r="T384" s="48"/>
      <c r="U384" s="48"/>
      <c r="V384" s="48"/>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140"/>
      <c r="AS384" s="140"/>
    </row>
    <row r="385" spans="1:45">
      <c r="A385" s="48"/>
      <c r="B385" s="48"/>
      <c r="C385" s="48"/>
      <c r="D385" s="48"/>
      <c r="E385" s="48"/>
      <c r="F385" s="48"/>
      <c r="G385" s="48"/>
      <c r="H385" s="48"/>
      <c r="I385" s="48"/>
      <c r="J385" s="48"/>
      <c r="K385" s="48"/>
      <c r="L385" s="48"/>
      <c r="M385" s="48"/>
      <c r="N385" s="48"/>
      <c r="O385" s="48"/>
      <c r="P385" s="48"/>
      <c r="Q385" s="48"/>
      <c r="R385" s="48"/>
      <c r="S385" s="48"/>
      <c r="T385" s="48"/>
      <c r="U385" s="48"/>
      <c r="V385" s="48"/>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140"/>
      <c r="AS385" s="140"/>
    </row>
    <row r="386" spans="1:45">
      <c r="A386" s="48"/>
      <c r="B386" s="48"/>
      <c r="C386" s="48"/>
      <c r="D386" s="48"/>
      <c r="E386" s="48"/>
      <c r="F386" s="48"/>
      <c r="G386" s="48"/>
      <c r="H386" s="48"/>
      <c r="I386" s="48"/>
      <c r="J386" s="48"/>
      <c r="K386" s="48"/>
      <c r="L386" s="48"/>
      <c r="M386" s="48"/>
      <c r="N386" s="48"/>
      <c r="O386" s="48"/>
      <c r="P386" s="48"/>
      <c r="Q386" s="48"/>
      <c r="R386" s="48"/>
      <c r="S386" s="48"/>
      <c r="T386" s="48"/>
      <c r="U386" s="48"/>
      <c r="V386" s="48"/>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140"/>
      <c r="AS386" s="140"/>
    </row>
    <row r="387" spans="1:45">
      <c r="A387" s="48"/>
      <c r="B387" s="48"/>
      <c r="C387" s="48"/>
      <c r="D387" s="48"/>
      <c r="E387" s="48"/>
      <c r="F387" s="48"/>
      <c r="G387" s="48"/>
      <c r="H387" s="48"/>
      <c r="I387" s="48"/>
      <c r="J387" s="48"/>
      <c r="K387" s="48"/>
      <c r="L387" s="48"/>
      <c r="M387" s="48"/>
      <c r="N387" s="48"/>
      <c r="O387" s="48"/>
      <c r="P387" s="48"/>
      <c r="Q387" s="48"/>
      <c r="R387" s="48"/>
      <c r="S387" s="48"/>
      <c r="T387" s="48"/>
      <c r="U387" s="48"/>
      <c r="V387" s="48"/>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140"/>
      <c r="AS387" s="140"/>
    </row>
    <row r="388" spans="1:45">
      <c r="A388" s="48"/>
      <c r="B388" s="48"/>
      <c r="C388" s="48"/>
      <c r="D388" s="48"/>
      <c r="E388" s="48"/>
      <c r="F388" s="48"/>
      <c r="G388" s="48"/>
      <c r="H388" s="48"/>
      <c r="I388" s="48"/>
      <c r="J388" s="48"/>
      <c r="K388" s="48"/>
      <c r="L388" s="48"/>
      <c r="M388" s="48"/>
      <c r="N388" s="48"/>
      <c r="O388" s="48"/>
      <c r="P388" s="48"/>
      <c r="Q388" s="48"/>
      <c r="R388" s="48"/>
      <c r="S388" s="48"/>
      <c r="T388" s="48"/>
      <c r="U388" s="48"/>
      <c r="V388" s="48"/>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140"/>
      <c r="AS388" s="140"/>
    </row>
    <row r="389" spans="1:45">
      <c r="A389" s="48"/>
      <c r="B389" s="48"/>
      <c r="C389" s="48"/>
      <c r="D389" s="48"/>
      <c r="E389" s="48"/>
      <c r="F389" s="48"/>
      <c r="G389" s="48"/>
      <c r="H389" s="48"/>
      <c r="I389" s="48"/>
      <c r="J389" s="48"/>
      <c r="K389" s="48"/>
      <c r="L389" s="48"/>
      <c r="M389" s="48"/>
      <c r="N389" s="48"/>
      <c r="O389" s="48"/>
      <c r="P389" s="48"/>
      <c r="Q389" s="48"/>
      <c r="R389" s="48"/>
      <c r="S389" s="48"/>
      <c r="T389" s="48"/>
      <c r="U389" s="48"/>
      <c r="V389" s="48"/>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140"/>
      <c r="AS389" s="140"/>
    </row>
    <row r="390" spans="1:45">
      <c r="A390" s="48"/>
      <c r="B390" s="48"/>
      <c r="C390" s="48"/>
      <c r="D390" s="48"/>
      <c r="E390" s="48"/>
      <c r="F390" s="48"/>
      <c r="G390" s="48"/>
      <c r="H390" s="48"/>
      <c r="I390" s="48"/>
      <c r="J390" s="48"/>
      <c r="K390" s="48"/>
      <c r="L390" s="48"/>
      <c r="M390" s="48"/>
      <c r="N390" s="48"/>
      <c r="O390" s="48"/>
      <c r="P390" s="48"/>
      <c r="Q390" s="48"/>
      <c r="R390" s="48"/>
      <c r="S390" s="48"/>
      <c r="T390" s="48"/>
      <c r="U390" s="48"/>
      <c r="V390" s="48"/>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140"/>
      <c r="AS390" s="140"/>
    </row>
    <row r="391" spans="1:45">
      <c r="A391" s="48"/>
      <c r="B391" s="48"/>
      <c r="C391" s="48"/>
      <c r="D391" s="48"/>
      <c r="E391" s="48"/>
      <c r="F391" s="48"/>
      <c r="G391" s="48"/>
      <c r="H391" s="48"/>
      <c r="I391" s="48"/>
      <c r="J391" s="48"/>
      <c r="K391" s="48"/>
      <c r="L391" s="48"/>
      <c r="M391" s="48"/>
      <c r="N391" s="48"/>
      <c r="O391" s="48"/>
      <c r="P391" s="48"/>
      <c r="Q391" s="48"/>
      <c r="R391" s="48"/>
      <c r="S391" s="48"/>
      <c r="T391" s="48"/>
      <c r="U391" s="48"/>
      <c r="V391" s="48"/>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140"/>
      <c r="AS391" s="140"/>
    </row>
    <row r="392" spans="1:45">
      <c r="A392" s="48"/>
      <c r="B392" s="48"/>
      <c r="C392" s="48"/>
      <c r="D392" s="48"/>
      <c r="E392" s="48"/>
      <c r="F392" s="48"/>
      <c r="G392" s="48"/>
      <c r="H392" s="48"/>
      <c r="I392" s="48"/>
      <c r="J392" s="48"/>
      <c r="K392" s="48"/>
      <c r="L392" s="48"/>
      <c r="M392" s="48"/>
      <c r="N392" s="48"/>
      <c r="O392" s="48"/>
      <c r="P392" s="48"/>
      <c r="Q392" s="48"/>
      <c r="R392" s="48"/>
      <c r="S392" s="48"/>
      <c r="T392" s="48"/>
      <c r="U392" s="48"/>
      <c r="V392" s="48"/>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140"/>
      <c r="AS392" s="140"/>
    </row>
    <row r="393" spans="1:45">
      <c r="A393" s="48"/>
      <c r="B393" s="48"/>
      <c r="C393" s="48"/>
      <c r="D393" s="48"/>
      <c r="E393" s="48"/>
      <c r="F393" s="48"/>
      <c r="G393" s="48"/>
      <c r="H393" s="48"/>
      <c r="I393" s="48"/>
      <c r="J393" s="48"/>
      <c r="K393" s="48"/>
      <c r="L393" s="48"/>
      <c r="M393" s="48"/>
      <c r="N393" s="48"/>
      <c r="O393" s="48"/>
      <c r="P393" s="48"/>
      <c r="Q393" s="48"/>
      <c r="R393" s="48"/>
      <c r="S393" s="48"/>
      <c r="T393" s="48"/>
      <c r="U393" s="48"/>
      <c r="V393" s="48"/>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140"/>
      <c r="AS393" s="140"/>
    </row>
    <row r="394" spans="1:45">
      <c r="A394" s="48"/>
      <c r="B394" s="48"/>
      <c r="C394" s="48"/>
      <c r="D394" s="48"/>
      <c r="E394" s="48"/>
      <c r="F394" s="48"/>
      <c r="G394" s="48"/>
      <c r="H394" s="48"/>
      <c r="I394" s="48"/>
      <c r="J394" s="48"/>
      <c r="K394" s="48"/>
      <c r="L394" s="48"/>
      <c r="M394" s="48"/>
      <c r="N394" s="48"/>
      <c r="O394" s="48"/>
      <c r="P394" s="48"/>
      <c r="Q394" s="48"/>
      <c r="R394" s="48"/>
      <c r="S394" s="48"/>
      <c r="T394" s="48"/>
      <c r="U394" s="48"/>
      <c r="V394" s="48"/>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140"/>
      <c r="AS394" s="140"/>
    </row>
    <row r="395" spans="1:45">
      <c r="A395" s="48"/>
      <c r="B395" s="48"/>
      <c r="C395" s="48"/>
      <c r="D395" s="48"/>
      <c r="E395" s="48"/>
      <c r="F395" s="48"/>
      <c r="G395" s="48"/>
      <c r="H395" s="48"/>
      <c r="I395" s="48"/>
      <c r="J395" s="48"/>
      <c r="K395" s="48"/>
      <c r="L395" s="48"/>
      <c r="M395" s="48"/>
      <c r="N395" s="48"/>
      <c r="O395" s="48"/>
      <c r="P395" s="48"/>
      <c r="Q395" s="48"/>
      <c r="R395" s="48"/>
      <c r="S395" s="48"/>
      <c r="T395" s="48"/>
      <c r="U395" s="48"/>
      <c r="V395" s="48"/>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140"/>
      <c r="AS395" s="140"/>
    </row>
    <row r="396" spans="1:45">
      <c r="A396" s="48"/>
      <c r="B396" s="48"/>
      <c r="C396" s="48"/>
      <c r="D396" s="48"/>
      <c r="E396" s="48"/>
      <c r="F396" s="48"/>
      <c r="G396" s="48"/>
      <c r="H396" s="48"/>
      <c r="I396" s="48"/>
      <c r="J396" s="48"/>
      <c r="K396" s="48"/>
      <c r="L396" s="48"/>
      <c r="M396" s="48"/>
      <c r="N396" s="48"/>
      <c r="O396" s="48"/>
      <c r="P396" s="48"/>
      <c r="Q396" s="48"/>
      <c r="R396" s="48"/>
      <c r="S396" s="48"/>
      <c r="T396" s="48"/>
      <c r="U396" s="48"/>
      <c r="V396" s="48"/>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140"/>
      <c r="AS396" s="140"/>
    </row>
    <row r="397" spans="1:45">
      <c r="A397" s="48"/>
      <c r="B397" s="48"/>
      <c r="C397" s="48"/>
      <c r="D397" s="48"/>
      <c r="E397" s="48"/>
      <c r="F397" s="48"/>
      <c r="G397" s="48"/>
      <c r="H397" s="48"/>
      <c r="I397" s="48"/>
      <c r="J397" s="48"/>
      <c r="K397" s="48"/>
      <c r="L397" s="48"/>
      <c r="M397" s="48"/>
      <c r="N397" s="48"/>
      <c r="O397" s="48"/>
      <c r="P397" s="48"/>
      <c r="Q397" s="48"/>
      <c r="R397" s="48"/>
      <c r="S397" s="48"/>
      <c r="T397" s="48"/>
      <c r="U397" s="48"/>
      <c r="V397" s="48"/>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140"/>
      <c r="AS397" s="140"/>
    </row>
    <row r="398" spans="1:45">
      <c r="A398" s="48"/>
      <c r="B398" s="48"/>
      <c r="C398" s="48"/>
      <c r="D398" s="48"/>
      <c r="E398" s="48"/>
      <c r="F398" s="48"/>
      <c r="G398" s="48"/>
      <c r="H398" s="48"/>
      <c r="I398" s="48"/>
      <c r="J398" s="48"/>
      <c r="K398" s="48"/>
      <c r="L398" s="48"/>
      <c r="M398" s="48"/>
      <c r="N398" s="48"/>
      <c r="O398" s="48"/>
      <c r="P398" s="48"/>
      <c r="Q398" s="48"/>
      <c r="R398" s="48"/>
      <c r="S398" s="48"/>
      <c r="T398" s="48"/>
      <c r="U398" s="48"/>
      <c r="V398" s="48"/>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140"/>
      <c r="AS398" s="140"/>
    </row>
    <row r="399" spans="1:45">
      <c r="A399" s="48"/>
      <c r="B399" s="48"/>
      <c r="C399" s="48"/>
      <c r="D399" s="48"/>
      <c r="E399" s="48"/>
      <c r="F399" s="48"/>
      <c r="G399" s="48"/>
      <c r="H399" s="48"/>
      <c r="I399" s="48"/>
      <c r="J399" s="48"/>
      <c r="K399" s="48"/>
      <c r="L399" s="48"/>
      <c r="M399" s="48"/>
      <c r="N399" s="48"/>
      <c r="O399" s="48"/>
      <c r="P399" s="48"/>
      <c r="Q399" s="48"/>
      <c r="R399" s="48"/>
      <c r="S399" s="48"/>
      <c r="T399" s="48"/>
      <c r="U399" s="48"/>
      <c r="V399" s="48"/>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140"/>
      <c r="AS399" s="140"/>
    </row>
    <row r="400" spans="1:45">
      <c r="A400" s="48"/>
      <c r="B400" s="48"/>
      <c r="C400" s="48"/>
      <c r="D400" s="48"/>
      <c r="E400" s="48"/>
      <c r="F400" s="48"/>
      <c r="G400" s="48"/>
      <c r="H400" s="48"/>
      <c r="I400" s="48"/>
      <c r="J400" s="48"/>
      <c r="K400" s="48"/>
      <c r="L400" s="48"/>
      <c r="M400" s="48"/>
      <c r="N400" s="48"/>
      <c r="O400" s="48"/>
      <c r="P400" s="48"/>
      <c r="Q400" s="48"/>
      <c r="R400" s="48"/>
      <c r="S400" s="48"/>
      <c r="T400" s="48"/>
      <c r="U400" s="48"/>
      <c r="V400" s="48"/>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140"/>
      <c r="AS400" s="140"/>
    </row>
    <row r="401" spans="1:45">
      <c r="A401" s="48"/>
      <c r="B401" s="48"/>
      <c r="C401" s="48"/>
      <c r="D401" s="48"/>
      <c r="E401" s="48"/>
      <c r="F401" s="48"/>
      <c r="G401" s="48"/>
      <c r="H401" s="48"/>
      <c r="I401" s="48"/>
      <c r="J401" s="48"/>
      <c r="K401" s="48"/>
      <c r="L401" s="48"/>
      <c r="M401" s="48"/>
      <c r="N401" s="48"/>
      <c r="O401" s="48"/>
      <c r="P401" s="48"/>
      <c r="Q401" s="48"/>
      <c r="R401" s="48"/>
      <c r="S401" s="48"/>
      <c r="T401" s="48"/>
      <c r="U401" s="48"/>
      <c r="V401" s="48"/>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140"/>
      <c r="AS401" s="140"/>
    </row>
    <row r="402" spans="1:45">
      <c r="A402" s="48"/>
      <c r="B402" s="48"/>
      <c r="C402" s="48"/>
      <c r="D402" s="48"/>
      <c r="E402" s="48"/>
      <c r="F402" s="48"/>
      <c r="G402" s="48"/>
      <c r="H402" s="48"/>
      <c r="I402" s="48"/>
      <c r="J402" s="48"/>
      <c r="K402" s="48"/>
      <c r="L402" s="48"/>
      <c r="M402" s="48"/>
      <c r="N402" s="48"/>
      <c r="O402" s="48"/>
      <c r="P402" s="48"/>
      <c r="Q402" s="48"/>
      <c r="R402" s="48"/>
      <c r="S402" s="48"/>
      <c r="T402" s="48"/>
      <c r="U402" s="48"/>
      <c r="V402" s="48"/>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140"/>
      <c r="AS402" s="140"/>
    </row>
    <row r="403" spans="1:45">
      <c r="A403" s="48"/>
      <c r="B403" s="48"/>
      <c r="C403" s="48"/>
      <c r="D403" s="48"/>
      <c r="E403" s="48"/>
      <c r="F403" s="48"/>
      <c r="G403" s="48"/>
      <c r="H403" s="48"/>
      <c r="I403" s="48"/>
      <c r="J403" s="48"/>
      <c r="K403" s="48"/>
      <c r="L403" s="48"/>
      <c r="M403" s="48"/>
      <c r="N403" s="48"/>
      <c r="O403" s="48"/>
      <c r="P403" s="48"/>
      <c r="Q403" s="48"/>
      <c r="R403" s="48"/>
      <c r="S403" s="48"/>
      <c r="T403" s="48"/>
      <c r="U403" s="48"/>
      <c r="V403" s="48"/>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140"/>
      <c r="AS403" s="140"/>
    </row>
    <row r="404" spans="1:45">
      <c r="A404" s="48"/>
      <c r="B404" s="48"/>
      <c r="C404" s="48"/>
      <c r="D404" s="48"/>
      <c r="E404" s="48"/>
      <c r="F404" s="48"/>
      <c r="G404" s="48"/>
      <c r="H404" s="48"/>
      <c r="I404" s="48"/>
      <c r="J404" s="48"/>
      <c r="K404" s="48"/>
      <c r="L404" s="48"/>
      <c r="M404" s="48"/>
      <c r="N404" s="48"/>
      <c r="O404" s="48"/>
      <c r="P404" s="48"/>
      <c r="Q404" s="48"/>
      <c r="R404" s="48"/>
      <c r="S404" s="48"/>
      <c r="T404" s="48"/>
      <c r="U404" s="48"/>
      <c r="V404" s="48"/>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140"/>
      <c r="AS404" s="140"/>
    </row>
    <row r="405" spans="1:45">
      <c r="A405" s="48"/>
      <c r="B405" s="48"/>
      <c r="C405" s="48"/>
      <c r="D405" s="48"/>
      <c r="E405" s="48"/>
      <c r="F405" s="48"/>
      <c r="G405" s="48"/>
      <c r="H405" s="48"/>
      <c r="I405" s="48"/>
      <c r="J405" s="48"/>
      <c r="K405" s="48"/>
      <c r="L405" s="48"/>
      <c r="M405" s="48"/>
      <c r="N405" s="48"/>
      <c r="O405" s="48"/>
      <c r="P405" s="48"/>
      <c r="Q405" s="48"/>
      <c r="R405" s="48"/>
      <c r="S405" s="48"/>
      <c r="T405" s="48"/>
      <c r="U405" s="48"/>
      <c r="V405" s="48"/>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140"/>
      <c r="AS405" s="140"/>
    </row>
    <row r="406" spans="1:45">
      <c r="A406" s="48"/>
      <c r="B406" s="48"/>
      <c r="C406" s="48"/>
      <c r="D406" s="48"/>
      <c r="E406" s="48"/>
      <c r="F406" s="48"/>
      <c r="G406" s="48"/>
      <c r="H406" s="48"/>
      <c r="I406" s="48"/>
      <c r="J406" s="48"/>
      <c r="K406" s="48"/>
      <c r="L406" s="48"/>
      <c r="M406" s="48"/>
      <c r="N406" s="48"/>
      <c r="O406" s="48"/>
      <c r="P406" s="48"/>
      <c r="Q406" s="48"/>
      <c r="R406" s="48"/>
      <c r="S406" s="48"/>
      <c r="T406" s="48"/>
      <c r="U406" s="48"/>
      <c r="V406" s="48"/>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140"/>
      <c r="AS406" s="140"/>
    </row>
    <row r="407" spans="1:45">
      <c r="A407" s="48"/>
      <c r="B407" s="48"/>
      <c r="C407" s="48"/>
      <c r="D407" s="48"/>
      <c r="E407" s="48"/>
      <c r="F407" s="48"/>
      <c r="G407" s="48"/>
      <c r="H407" s="48"/>
      <c r="I407" s="48"/>
      <c r="J407" s="48"/>
      <c r="K407" s="48"/>
      <c r="L407" s="48"/>
      <c r="M407" s="48"/>
      <c r="N407" s="48"/>
      <c r="O407" s="48"/>
      <c r="P407" s="48"/>
      <c r="Q407" s="48"/>
      <c r="R407" s="48"/>
      <c r="S407" s="48"/>
      <c r="T407" s="48"/>
      <c r="U407" s="48"/>
      <c r="V407" s="48"/>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140"/>
      <c r="AS407" s="140"/>
    </row>
    <row r="408" spans="1:45">
      <c r="A408" s="48"/>
      <c r="B408" s="48"/>
      <c r="C408" s="48"/>
      <c r="D408" s="48"/>
      <c r="E408" s="48"/>
      <c r="F408" s="48"/>
      <c r="G408" s="48"/>
      <c r="H408" s="48"/>
      <c r="I408" s="48"/>
      <c r="J408" s="48"/>
      <c r="K408" s="48"/>
      <c r="L408" s="48"/>
      <c r="M408" s="48"/>
      <c r="N408" s="48"/>
      <c r="O408" s="48"/>
      <c r="P408" s="48"/>
      <c r="Q408" s="48"/>
      <c r="R408" s="48"/>
      <c r="S408" s="48"/>
      <c r="T408" s="48"/>
      <c r="U408" s="48"/>
      <c r="V408" s="48"/>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140"/>
      <c r="AS408" s="140"/>
    </row>
    <row r="409" spans="1:45">
      <c r="A409" s="48"/>
      <c r="B409" s="48"/>
      <c r="C409" s="48"/>
      <c r="D409" s="48"/>
      <c r="E409" s="48"/>
      <c r="F409" s="48"/>
      <c r="G409" s="48"/>
      <c r="H409" s="48"/>
      <c r="I409" s="48"/>
      <c r="J409" s="48"/>
      <c r="K409" s="48"/>
      <c r="L409" s="48"/>
      <c r="M409" s="48"/>
      <c r="N409" s="48"/>
      <c r="O409" s="48"/>
      <c r="P409" s="48"/>
      <c r="Q409" s="48"/>
      <c r="R409" s="48"/>
      <c r="S409" s="48"/>
      <c r="T409" s="48"/>
      <c r="U409" s="48"/>
      <c r="V409" s="48"/>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140"/>
      <c r="AS409" s="140"/>
    </row>
    <row r="410" spans="1:45">
      <c r="A410" s="48"/>
      <c r="B410" s="48"/>
      <c r="C410" s="48"/>
      <c r="D410" s="48"/>
      <c r="E410" s="48"/>
      <c r="F410" s="48"/>
      <c r="G410" s="48"/>
      <c r="H410" s="48"/>
      <c r="I410" s="48"/>
      <c r="J410" s="48"/>
      <c r="K410" s="48"/>
      <c r="L410" s="48"/>
      <c r="M410" s="48"/>
      <c r="N410" s="48"/>
      <c r="O410" s="48"/>
      <c r="P410" s="48"/>
      <c r="Q410" s="48"/>
      <c r="R410" s="48"/>
      <c r="S410" s="48"/>
      <c r="T410" s="48"/>
      <c r="U410" s="48"/>
      <c r="V410" s="48"/>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140"/>
      <c r="AS410" s="140"/>
    </row>
    <row r="411" spans="1:45">
      <c r="A411" s="48"/>
      <c r="B411" s="48"/>
      <c r="C411" s="48"/>
      <c r="D411" s="48"/>
      <c r="E411" s="48"/>
      <c r="F411" s="48"/>
      <c r="G411" s="48"/>
      <c r="H411" s="48"/>
      <c r="I411" s="48"/>
      <c r="J411" s="48"/>
      <c r="K411" s="48"/>
      <c r="L411" s="48"/>
      <c r="M411" s="48"/>
      <c r="N411" s="48"/>
      <c r="O411" s="48"/>
      <c r="P411" s="48"/>
      <c r="Q411" s="48"/>
      <c r="R411" s="48"/>
      <c r="S411" s="48"/>
      <c r="T411" s="48"/>
      <c r="U411" s="48"/>
      <c r="V411" s="48"/>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140"/>
      <c r="AS411" s="140"/>
    </row>
    <row r="412" spans="1:45">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140"/>
      <c r="AS412" s="140"/>
    </row>
    <row r="413" spans="1:45">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140"/>
      <c r="AS413" s="140"/>
    </row>
    <row r="414" spans="1:45">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140"/>
      <c r="AS414" s="140"/>
    </row>
    <row r="415" spans="1:45">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140"/>
      <c r="AS415" s="140"/>
    </row>
    <row r="416" spans="1:45">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140"/>
      <c r="AS416" s="140"/>
    </row>
    <row r="417" spans="23:45">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140"/>
      <c r="AS417" s="140"/>
    </row>
    <row r="418" spans="23:45">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140"/>
      <c r="AS418" s="140"/>
    </row>
    <row r="419" spans="23:45">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140"/>
      <c r="AS419" s="140"/>
    </row>
    <row r="420" spans="23:45">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140"/>
      <c r="AS420" s="140"/>
    </row>
    <row r="421" spans="23:45">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140"/>
      <c r="AS421" s="140"/>
    </row>
    <row r="422" spans="23:45">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140"/>
      <c r="AS422" s="140"/>
    </row>
    <row r="423" spans="23:45">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140"/>
      <c r="AS423" s="140"/>
    </row>
    <row r="424" spans="23:45">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140"/>
      <c r="AS424" s="140"/>
    </row>
    <row r="425" spans="23:45">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140"/>
      <c r="AS425" s="140"/>
    </row>
    <row r="426" spans="23:45">
      <c r="W426" s="96"/>
      <c r="X426" s="96"/>
      <c r="Y426" s="96"/>
      <c r="Z426" s="96"/>
      <c r="AA426" s="96"/>
      <c r="AB426" s="96"/>
      <c r="AC426" s="96"/>
      <c r="AD426" s="96"/>
      <c r="AE426" s="96"/>
      <c r="AF426" s="96"/>
      <c r="AG426" s="96"/>
      <c r="AH426" s="96"/>
      <c r="AI426" s="96"/>
      <c r="AJ426" s="96"/>
      <c r="AK426" s="96"/>
      <c r="AL426" s="96"/>
      <c r="AM426" s="96"/>
      <c r="AN426" s="96"/>
      <c r="AO426" s="96"/>
      <c r="AP426" s="96"/>
      <c r="AQ426" s="96"/>
      <c r="AR426" s="140"/>
      <c r="AS426" s="140"/>
    </row>
    <row r="427" spans="23:45">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140"/>
      <c r="AS427" s="140"/>
    </row>
    <row r="428" spans="23:45">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140"/>
      <c r="AS428" s="140"/>
    </row>
    <row r="429" spans="23:45">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140"/>
      <c r="AS429" s="140"/>
    </row>
    <row r="430" spans="23:45">
      <c r="W430" s="96"/>
      <c r="X430" s="96"/>
      <c r="Y430" s="96"/>
      <c r="Z430" s="96"/>
      <c r="AA430" s="96"/>
      <c r="AB430" s="96"/>
      <c r="AC430" s="96"/>
      <c r="AD430" s="96"/>
      <c r="AE430" s="96"/>
      <c r="AF430" s="96"/>
      <c r="AG430" s="96"/>
      <c r="AH430" s="96"/>
      <c r="AI430" s="96"/>
      <c r="AJ430" s="96"/>
      <c r="AK430" s="96"/>
      <c r="AL430" s="96"/>
      <c r="AM430" s="96"/>
      <c r="AN430" s="96"/>
      <c r="AO430" s="96"/>
      <c r="AP430" s="96"/>
      <c r="AQ430" s="96"/>
      <c r="AR430" s="140"/>
      <c r="AS430" s="140"/>
    </row>
    <row r="431" spans="23:45">
      <c r="W431" s="96"/>
      <c r="X431" s="96"/>
      <c r="Y431" s="96"/>
      <c r="Z431" s="96"/>
      <c r="AA431" s="96"/>
      <c r="AB431" s="96"/>
      <c r="AC431" s="96"/>
      <c r="AD431" s="96"/>
      <c r="AE431" s="96"/>
      <c r="AF431" s="96"/>
      <c r="AG431" s="96"/>
      <c r="AH431" s="96"/>
      <c r="AI431" s="96"/>
      <c r="AJ431" s="96"/>
      <c r="AK431" s="96"/>
      <c r="AL431" s="96"/>
      <c r="AM431" s="96"/>
      <c r="AN431" s="96"/>
      <c r="AO431" s="96"/>
      <c r="AP431" s="96"/>
      <c r="AQ431" s="96"/>
      <c r="AR431" s="140"/>
      <c r="AS431" s="140"/>
    </row>
    <row r="432" spans="23:45">
      <c r="W432" s="96"/>
      <c r="X432" s="96"/>
      <c r="Y432" s="96"/>
      <c r="Z432" s="96"/>
      <c r="AA432" s="96"/>
      <c r="AB432" s="96"/>
      <c r="AC432" s="96"/>
      <c r="AD432" s="96"/>
      <c r="AE432" s="96"/>
      <c r="AF432" s="96"/>
      <c r="AG432" s="96"/>
      <c r="AH432" s="96"/>
      <c r="AI432" s="96"/>
      <c r="AJ432" s="96"/>
      <c r="AK432" s="96"/>
      <c r="AL432" s="96"/>
      <c r="AM432" s="96"/>
      <c r="AN432" s="96"/>
      <c r="AO432" s="96"/>
      <c r="AP432" s="96"/>
      <c r="AQ432" s="96"/>
      <c r="AR432" s="140"/>
      <c r="AS432" s="140"/>
    </row>
    <row r="433" spans="23:45">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140"/>
      <c r="AS433" s="140"/>
    </row>
    <row r="434" spans="23:45">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140"/>
      <c r="AS434" s="140"/>
    </row>
    <row r="435" spans="23:45">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140"/>
      <c r="AS435" s="140"/>
    </row>
    <row r="436" spans="23:45">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140"/>
      <c r="AS436" s="140"/>
    </row>
    <row r="437" spans="23:45">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140"/>
      <c r="AS437" s="140"/>
    </row>
    <row r="438" spans="23:45">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140"/>
      <c r="AS438" s="140"/>
    </row>
    <row r="439" spans="23:45">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140"/>
      <c r="AS439" s="140"/>
    </row>
    <row r="440" spans="23:45">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140"/>
      <c r="AS440" s="140"/>
    </row>
    <row r="441" spans="23:45">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140"/>
      <c r="AS441" s="140"/>
    </row>
    <row r="442" spans="23:45">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140"/>
      <c r="AS442" s="140"/>
    </row>
    <row r="443" spans="23:45">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140"/>
      <c r="AS443" s="140"/>
    </row>
    <row r="444" spans="23:45">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140"/>
      <c r="AS444" s="140"/>
    </row>
    <row r="445" spans="23:45">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140"/>
      <c r="AS445" s="140"/>
    </row>
    <row r="446" spans="23:45">
      <c r="W446" s="96"/>
      <c r="X446" s="96"/>
      <c r="Y446" s="96"/>
      <c r="Z446" s="96"/>
      <c r="AA446" s="96"/>
      <c r="AB446" s="96"/>
      <c r="AC446" s="96"/>
      <c r="AD446" s="96"/>
      <c r="AE446" s="96"/>
      <c r="AF446" s="96"/>
      <c r="AG446" s="96"/>
      <c r="AH446" s="96"/>
      <c r="AI446" s="96"/>
      <c r="AJ446" s="96"/>
      <c r="AK446" s="96"/>
      <c r="AL446" s="96"/>
      <c r="AM446" s="96"/>
      <c r="AN446" s="96"/>
      <c r="AO446" s="96"/>
      <c r="AP446" s="96"/>
      <c r="AQ446" s="96"/>
      <c r="AR446" s="140"/>
      <c r="AS446" s="140"/>
    </row>
    <row r="447" spans="23:45">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140"/>
      <c r="AS447" s="140"/>
    </row>
    <row r="448" spans="23:45">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140"/>
      <c r="AS448" s="140"/>
    </row>
    <row r="449" spans="23:45">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140"/>
      <c r="AS449" s="140"/>
    </row>
    <row r="450" spans="23:45">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140"/>
      <c r="AS450" s="140"/>
    </row>
    <row r="451" spans="23:45">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140"/>
      <c r="AS451" s="140"/>
    </row>
    <row r="452" spans="23:45">
      <c r="W452" s="96"/>
      <c r="X452" s="96"/>
      <c r="Y452" s="96"/>
      <c r="Z452" s="96"/>
      <c r="AA452" s="96"/>
      <c r="AB452" s="96"/>
      <c r="AC452" s="96"/>
      <c r="AD452" s="96"/>
      <c r="AE452" s="96"/>
      <c r="AF452" s="96"/>
      <c r="AG452" s="96"/>
      <c r="AH452" s="96"/>
      <c r="AI452" s="96"/>
      <c r="AJ452" s="96"/>
      <c r="AK452" s="96"/>
      <c r="AL452" s="96"/>
      <c r="AM452" s="96"/>
      <c r="AN452" s="96"/>
      <c r="AO452" s="96"/>
      <c r="AP452" s="96"/>
      <c r="AQ452" s="96"/>
      <c r="AR452" s="140"/>
      <c r="AS452" s="140"/>
    </row>
    <row r="453" spans="23:45">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140"/>
      <c r="AS453" s="140"/>
    </row>
    <row r="454" spans="23:45">
      <c r="W454" s="96"/>
      <c r="X454" s="96"/>
      <c r="Y454" s="96"/>
      <c r="Z454" s="96"/>
      <c r="AA454" s="96"/>
      <c r="AB454" s="96"/>
      <c r="AC454" s="96"/>
      <c r="AD454" s="96"/>
      <c r="AE454" s="96"/>
      <c r="AF454" s="96"/>
      <c r="AG454" s="96"/>
      <c r="AH454" s="96"/>
      <c r="AI454" s="96"/>
      <c r="AJ454" s="96"/>
      <c r="AK454" s="96"/>
      <c r="AL454" s="96"/>
      <c r="AM454" s="96"/>
      <c r="AN454" s="96"/>
      <c r="AO454" s="96"/>
      <c r="AP454" s="96"/>
      <c r="AQ454" s="96"/>
      <c r="AR454" s="140"/>
      <c r="AS454" s="140"/>
    </row>
    <row r="455" spans="23:45">
      <c r="W455" s="96"/>
      <c r="X455" s="96"/>
      <c r="Y455" s="96"/>
      <c r="Z455" s="96"/>
      <c r="AA455" s="96"/>
      <c r="AB455" s="96"/>
      <c r="AC455" s="96"/>
      <c r="AD455" s="96"/>
      <c r="AE455" s="96"/>
      <c r="AF455" s="96"/>
      <c r="AG455" s="96"/>
      <c r="AH455" s="96"/>
      <c r="AI455" s="96"/>
      <c r="AJ455" s="96"/>
      <c r="AK455" s="96"/>
      <c r="AL455" s="96"/>
      <c r="AM455" s="96"/>
      <c r="AN455" s="96"/>
      <c r="AO455" s="96"/>
      <c r="AP455" s="96"/>
      <c r="AQ455" s="96"/>
      <c r="AR455" s="140"/>
      <c r="AS455" s="140"/>
    </row>
    <row r="456" spans="23:45">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140"/>
      <c r="AS456" s="140"/>
    </row>
    <row r="457" spans="23:45">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140"/>
      <c r="AS457" s="140"/>
    </row>
    <row r="458" spans="23:45">
      <c r="W458" s="96"/>
      <c r="X458" s="96"/>
      <c r="Y458" s="96"/>
      <c r="Z458" s="96"/>
      <c r="AA458" s="96"/>
      <c r="AB458" s="96"/>
      <c r="AC458" s="96"/>
      <c r="AD458" s="96"/>
      <c r="AE458" s="96"/>
      <c r="AF458" s="96"/>
      <c r="AG458" s="96"/>
      <c r="AH458" s="96"/>
      <c r="AI458" s="96"/>
      <c r="AJ458" s="96"/>
      <c r="AK458" s="96"/>
      <c r="AL458" s="96"/>
      <c r="AM458" s="96"/>
      <c r="AN458" s="96"/>
      <c r="AO458" s="96"/>
      <c r="AP458" s="96"/>
      <c r="AQ458" s="96"/>
      <c r="AR458" s="140"/>
      <c r="AS458" s="140"/>
    </row>
    <row r="459" spans="23:45">
      <c r="W459" s="96"/>
      <c r="X459" s="96"/>
      <c r="Y459" s="96"/>
      <c r="Z459" s="96"/>
      <c r="AA459" s="96"/>
      <c r="AB459" s="96"/>
      <c r="AC459" s="96"/>
      <c r="AD459" s="96"/>
      <c r="AE459" s="96"/>
      <c r="AF459" s="96"/>
      <c r="AG459" s="96"/>
      <c r="AH459" s="96"/>
      <c r="AI459" s="96"/>
      <c r="AJ459" s="96"/>
      <c r="AK459" s="96"/>
      <c r="AL459" s="96"/>
      <c r="AM459" s="96"/>
      <c r="AN459" s="96"/>
      <c r="AO459" s="96"/>
      <c r="AP459" s="96"/>
      <c r="AQ459" s="96"/>
      <c r="AR459" s="140"/>
      <c r="AS459" s="140"/>
    </row>
    <row r="460" spans="23:45">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140"/>
      <c r="AS460" s="140"/>
    </row>
    <row r="461" spans="23:45">
      <c r="W461" s="96"/>
      <c r="X461" s="96"/>
      <c r="Y461" s="96"/>
      <c r="Z461" s="96"/>
      <c r="AA461" s="96"/>
      <c r="AB461" s="96"/>
      <c r="AC461" s="96"/>
      <c r="AD461" s="96"/>
      <c r="AE461" s="96"/>
      <c r="AF461" s="96"/>
      <c r="AG461" s="96"/>
      <c r="AH461" s="96"/>
      <c r="AI461" s="96"/>
      <c r="AJ461" s="96"/>
      <c r="AK461" s="96"/>
      <c r="AL461" s="96"/>
      <c r="AM461" s="96"/>
      <c r="AN461" s="96"/>
      <c r="AO461" s="96"/>
      <c r="AP461" s="96"/>
      <c r="AQ461" s="96"/>
      <c r="AR461" s="140"/>
      <c r="AS461" s="140"/>
    </row>
    <row r="462" spans="23:45">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140"/>
      <c r="AS462" s="140"/>
    </row>
    <row r="463" spans="23:45">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140"/>
      <c r="AS463" s="140"/>
    </row>
    <row r="464" spans="23:45">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140"/>
      <c r="AS464" s="140"/>
    </row>
    <row r="465" spans="23:45">
      <c r="W465" s="96"/>
      <c r="X465" s="96"/>
      <c r="Y465" s="96"/>
      <c r="Z465" s="96"/>
      <c r="AA465" s="96"/>
      <c r="AB465" s="96"/>
      <c r="AC465" s="96"/>
      <c r="AD465" s="96"/>
      <c r="AE465" s="96"/>
      <c r="AF465" s="96"/>
      <c r="AG465" s="96"/>
      <c r="AH465" s="96"/>
      <c r="AI465" s="96"/>
      <c r="AJ465" s="96"/>
      <c r="AK465" s="96"/>
      <c r="AL465" s="96"/>
      <c r="AM465" s="96"/>
      <c r="AN465" s="96"/>
      <c r="AO465" s="96"/>
      <c r="AP465" s="96"/>
      <c r="AQ465" s="96"/>
      <c r="AR465" s="140"/>
      <c r="AS465" s="140"/>
    </row>
    <row r="466" spans="23:45">
      <c r="W466" s="96"/>
      <c r="X466" s="96"/>
      <c r="Y466" s="96"/>
      <c r="Z466" s="96"/>
      <c r="AA466" s="96"/>
      <c r="AB466" s="96"/>
      <c r="AC466" s="96"/>
      <c r="AD466" s="96"/>
      <c r="AE466" s="96"/>
      <c r="AF466" s="96"/>
      <c r="AG466" s="96"/>
      <c r="AH466" s="96"/>
      <c r="AI466" s="96"/>
      <c r="AJ466" s="96"/>
      <c r="AK466" s="96"/>
      <c r="AL466" s="96"/>
      <c r="AM466" s="96"/>
      <c r="AN466" s="96"/>
      <c r="AO466" s="96"/>
      <c r="AP466" s="96"/>
      <c r="AQ466" s="96"/>
      <c r="AR466" s="140"/>
      <c r="AS466" s="140"/>
    </row>
    <row r="467" spans="23:45">
      <c r="W467" s="96"/>
      <c r="X467" s="96"/>
      <c r="Y467" s="96"/>
      <c r="Z467" s="96"/>
      <c r="AA467" s="96"/>
      <c r="AB467" s="96"/>
      <c r="AC467" s="96"/>
      <c r="AD467" s="96"/>
      <c r="AE467" s="96"/>
      <c r="AF467" s="96"/>
      <c r="AG467" s="96"/>
      <c r="AH467" s="96"/>
      <c r="AI467" s="96"/>
      <c r="AJ467" s="96"/>
      <c r="AK467" s="96"/>
      <c r="AL467" s="96"/>
      <c r="AM467" s="96"/>
      <c r="AN467" s="96"/>
      <c r="AO467" s="96"/>
      <c r="AP467" s="96"/>
      <c r="AQ467" s="96"/>
      <c r="AR467" s="140"/>
      <c r="AS467" s="140"/>
    </row>
    <row r="468" spans="23:45">
      <c r="W468" s="96"/>
      <c r="X468" s="96"/>
      <c r="Y468" s="96"/>
      <c r="Z468" s="96"/>
      <c r="AA468" s="96"/>
      <c r="AB468" s="96"/>
      <c r="AC468" s="96"/>
      <c r="AD468" s="96"/>
      <c r="AE468" s="96"/>
      <c r="AF468" s="96"/>
      <c r="AG468" s="96"/>
      <c r="AH468" s="96"/>
      <c r="AI468" s="96"/>
      <c r="AJ468" s="96"/>
      <c r="AK468" s="96"/>
      <c r="AL468" s="96"/>
      <c r="AM468" s="96"/>
      <c r="AN468" s="96"/>
      <c r="AO468" s="96"/>
      <c r="AP468" s="96"/>
      <c r="AQ468" s="96"/>
      <c r="AR468" s="140"/>
      <c r="AS468" s="140"/>
    </row>
    <row r="469" spans="23:45">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140"/>
      <c r="AS469" s="140"/>
    </row>
    <row r="470" spans="23:45">
      <c r="W470" s="96"/>
      <c r="X470" s="96"/>
      <c r="Y470" s="96"/>
      <c r="Z470" s="96"/>
      <c r="AA470" s="96"/>
      <c r="AB470" s="96"/>
      <c r="AC470" s="96"/>
      <c r="AD470" s="96"/>
      <c r="AE470" s="96"/>
      <c r="AF470" s="96"/>
      <c r="AG470" s="96"/>
      <c r="AH470" s="96"/>
      <c r="AI470" s="96"/>
      <c r="AJ470" s="96"/>
      <c r="AK470" s="96"/>
      <c r="AL470" s="96"/>
      <c r="AM470" s="96"/>
      <c r="AN470" s="96"/>
      <c r="AO470" s="96"/>
      <c r="AP470" s="96"/>
      <c r="AQ470" s="96"/>
      <c r="AR470" s="140"/>
      <c r="AS470" s="140"/>
    </row>
    <row r="471" spans="23:45">
      <c r="W471" s="96"/>
      <c r="X471" s="96"/>
      <c r="Y471" s="96"/>
      <c r="Z471" s="96"/>
      <c r="AA471" s="96"/>
      <c r="AB471" s="96"/>
      <c r="AC471" s="96"/>
      <c r="AD471" s="96"/>
      <c r="AE471" s="96"/>
      <c r="AF471" s="96"/>
      <c r="AG471" s="96"/>
      <c r="AH471" s="96"/>
      <c r="AI471" s="96"/>
      <c r="AJ471" s="96"/>
      <c r="AK471" s="96"/>
      <c r="AL471" s="96"/>
      <c r="AM471" s="96"/>
      <c r="AN471" s="96"/>
      <c r="AO471" s="96"/>
      <c r="AP471" s="96"/>
      <c r="AQ471" s="96"/>
      <c r="AR471" s="140"/>
      <c r="AS471" s="140"/>
    </row>
    <row r="472" spans="23:45">
      <c r="W472" s="96"/>
      <c r="X472" s="96"/>
      <c r="Y472" s="96"/>
      <c r="Z472" s="96"/>
      <c r="AA472" s="96"/>
      <c r="AB472" s="96"/>
      <c r="AC472" s="96"/>
      <c r="AD472" s="96"/>
      <c r="AE472" s="96"/>
      <c r="AF472" s="96"/>
      <c r="AG472" s="96"/>
      <c r="AH472" s="96"/>
      <c r="AI472" s="96"/>
      <c r="AJ472" s="96"/>
      <c r="AK472" s="96"/>
      <c r="AL472" s="96"/>
      <c r="AM472" s="96"/>
      <c r="AN472" s="96"/>
      <c r="AO472" s="96"/>
      <c r="AP472" s="96"/>
      <c r="AQ472" s="96"/>
      <c r="AR472" s="140"/>
      <c r="AS472" s="140"/>
    </row>
    <row r="473" spans="23:45">
      <c r="W473" s="96"/>
      <c r="X473" s="96"/>
      <c r="Y473" s="96"/>
      <c r="Z473" s="96"/>
      <c r="AA473" s="96"/>
      <c r="AB473" s="96"/>
      <c r="AC473" s="96"/>
      <c r="AD473" s="96"/>
      <c r="AE473" s="96"/>
      <c r="AF473" s="96"/>
      <c r="AG473" s="96"/>
      <c r="AH473" s="96"/>
      <c r="AI473" s="96"/>
      <c r="AJ473" s="96"/>
      <c r="AK473" s="96"/>
      <c r="AL473" s="96"/>
      <c r="AM473" s="96"/>
      <c r="AN473" s="96"/>
      <c r="AO473" s="96"/>
      <c r="AP473" s="96"/>
      <c r="AQ473" s="96"/>
      <c r="AR473" s="140"/>
      <c r="AS473" s="140"/>
    </row>
    <row r="474" spans="23:45">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140"/>
      <c r="AS474" s="140"/>
    </row>
    <row r="475" spans="23:45">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140"/>
      <c r="AS475" s="140"/>
    </row>
    <row r="476" spans="23:45">
      <c r="W476" s="96"/>
      <c r="X476" s="96"/>
      <c r="Y476" s="96"/>
      <c r="Z476" s="96"/>
      <c r="AA476" s="96"/>
      <c r="AB476" s="96"/>
      <c r="AC476" s="96"/>
      <c r="AD476" s="96"/>
      <c r="AE476" s="96"/>
      <c r="AF476" s="96"/>
      <c r="AG476" s="96"/>
      <c r="AH476" s="96"/>
      <c r="AI476" s="96"/>
      <c r="AJ476" s="96"/>
      <c r="AK476" s="96"/>
      <c r="AL476" s="96"/>
      <c r="AM476" s="96"/>
      <c r="AN476" s="96"/>
      <c r="AO476" s="96"/>
      <c r="AP476" s="96"/>
      <c r="AQ476" s="96"/>
      <c r="AR476" s="140"/>
      <c r="AS476" s="140"/>
    </row>
    <row r="477" spans="23:45">
      <c r="W477" s="96"/>
      <c r="X477" s="96"/>
      <c r="Y477" s="96"/>
      <c r="Z477" s="96"/>
      <c r="AA477" s="96"/>
      <c r="AB477" s="96"/>
      <c r="AC477" s="96"/>
      <c r="AD477" s="96"/>
      <c r="AE477" s="96"/>
      <c r="AF477" s="96"/>
      <c r="AG477" s="96"/>
      <c r="AH477" s="96"/>
      <c r="AI477" s="96"/>
      <c r="AJ477" s="96"/>
      <c r="AK477" s="96"/>
      <c r="AL477" s="96"/>
      <c r="AM477" s="96"/>
      <c r="AN477" s="96"/>
      <c r="AO477" s="96"/>
      <c r="AP477" s="96"/>
      <c r="AQ477" s="96"/>
      <c r="AR477" s="140"/>
      <c r="AS477" s="140"/>
    </row>
    <row r="478" spans="23:45">
      <c r="W478" s="96"/>
      <c r="X478" s="96"/>
      <c r="Y478" s="96"/>
      <c r="Z478" s="96"/>
      <c r="AA478" s="96"/>
      <c r="AB478" s="96"/>
      <c r="AC478" s="96"/>
      <c r="AD478" s="96"/>
      <c r="AE478" s="96"/>
      <c r="AF478" s="96"/>
      <c r="AG478" s="96"/>
      <c r="AH478" s="96"/>
      <c r="AI478" s="96"/>
      <c r="AJ478" s="96"/>
      <c r="AK478" s="96"/>
      <c r="AL478" s="96"/>
      <c r="AM478" s="96"/>
      <c r="AN478" s="96"/>
      <c r="AO478" s="96"/>
      <c r="AP478" s="96"/>
      <c r="AQ478" s="96"/>
      <c r="AR478" s="140"/>
      <c r="AS478" s="140"/>
    </row>
    <row r="479" spans="23:45">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140"/>
      <c r="AS479" s="140"/>
    </row>
    <row r="480" spans="23:45">
      <c r="W480" s="96"/>
      <c r="X480" s="96"/>
      <c r="Y480" s="96"/>
      <c r="Z480" s="96"/>
      <c r="AA480" s="96"/>
      <c r="AB480" s="96"/>
      <c r="AC480" s="96"/>
      <c r="AD480" s="96"/>
      <c r="AE480" s="96"/>
      <c r="AF480" s="96"/>
      <c r="AG480" s="96"/>
      <c r="AH480" s="96"/>
      <c r="AI480" s="96"/>
      <c r="AJ480" s="96"/>
      <c r="AK480" s="96"/>
      <c r="AL480" s="96"/>
      <c r="AM480" s="96"/>
      <c r="AN480" s="96"/>
      <c r="AO480" s="96"/>
      <c r="AP480" s="96"/>
      <c r="AQ480" s="96"/>
      <c r="AR480" s="140"/>
      <c r="AS480" s="140"/>
    </row>
    <row r="481" spans="23:45">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140"/>
      <c r="AS481" s="140"/>
    </row>
    <row r="482" spans="23:45">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140"/>
      <c r="AS482" s="140"/>
    </row>
    <row r="483" spans="23:45">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140"/>
      <c r="AS483" s="140"/>
    </row>
    <row r="484" spans="23:45">
      <c r="W484" s="96"/>
      <c r="X484" s="96"/>
      <c r="Y484" s="96"/>
      <c r="Z484" s="96"/>
      <c r="AA484" s="96"/>
      <c r="AB484" s="96"/>
      <c r="AC484" s="96"/>
      <c r="AD484" s="96"/>
      <c r="AE484" s="96"/>
      <c r="AF484" s="96"/>
      <c r="AG484" s="96"/>
      <c r="AH484" s="96"/>
      <c r="AI484" s="96"/>
      <c r="AJ484" s="96"/>
      <c r="AK484" s="96"/>
      <c r="AL484" s="96"/>
      <c r="AM484" s="96"/>
      <c r="AN484" s="96"/>
      <c r="AO484" s="96"/>
      <c r="AP484" s="96"/>
      <c r="AQ484" s="96"/>
      <c r="AR484" s="140"/>
      <c r="AS484" s="140"/>
    </row>
    <row r="485" spans="23:45">
      <c r="W485" s="96"/>
      <c r="X485" s="96"/>
      <c r="Y485" s="96"/>
      <c r="Z485" s="96"/>
      <c r="AA485" s="96"/>
      <c r="AB485" s="96"/>
      <c r="AC485" s="96"/>
      <c r="AD485" s="96"/>
      <c r="AE485" s="96"/>
      <c r="AF485" s="96"/>
      <c r="AG485" s="96"/>
      <c r="AH485" s="96"/>
      <c r="AI485" s="96"/>
      <c r="AJ485" s="96"/>
      <c r="AK485" s="96"/>
      <c r="AL485" s="96"/>
      <c r="AM485" s="96"/>
      <c r="AN485" s="96"/>
      <c r="AO485" s="96"/>
      <c r="AP485" s="96"/>
      <c r="AQ485" s="96"/>
      <c r="AR485" s="140"/>
      <c r="AS485" s="140"/>
    </row>
    <row r="486" spans="23:45">
      <c r="W486" s="96"/>
      <c r="X486" s="96"/>
      <c r="Y486" s="96"/>
      <c r="Z486" s="96"/>
      <c r="AA486" s="96"/>
      <c r="AB486" s="96"/>
      <c r="AC486" s="96"/>
      <c r="AD486" s="96"/>
      <c r="AE486" s="96"/>
      <c r="AF486" s="96"/>
      <c r="AG486" s="96"/>
      <c r="AH486" s="96"/>
      <c r="AI486" s="96"/>
      <c r="AJ486" s="96"/>
      <c r="AK486" s="96"/>
      <c r="AL486" s="96"/>
      <c r="AM486" s="96"/>
      <c r="AN486" s="96"/>
      <c r="AO486" s="96"/>
      <c r="AP486" s="96"/>
      <c r="AQ486" s="96"/>
      <c r="AR486" s="140"/>
      <c r="AS486" s="140"/>
    </row>
    <row r="487" spans="23:45">
      <c r="W487" s="96"/>
      <c r="X487" s="96"/>
      <c r="Y487" s="96"/>
      <c r="Z487" s="96"/>
      <c r="AA487" s="96"/>
      <c r="AB487" s="96"/>
      <c r="AC487" s="96"/>
      <c r="AD487" s="96"/>
      <c r="AE487" s="96"/>
      <c r="AF487" s="96"/>
      <c r="AG487" s="96"/>
      <c r="AH487" s="96"/>
      <c r="AI487" s="96"/>
      <c r="AJ487" s="96"/>
      <c r="AK487" s="96"/>
      <c r="AL487" s="96"/>
      <c r="AM487" s="96"/>
      <c r="AN487" s="96"/>
      <c r="AO487" s="96"/>
      <c r="AP487" s="96"/>
      <c r="AQ487" s="96"/>
      <c r="AR487" s="140"/>
      <c r="AS487" s="140"/>
    </row>
    <row r="488" spans="23:45">
      <c r="W488" s="96"/>
      <c r="X488" s="96"/>
      <c r="Y488" s="96"/>
      <c r="Z488" s="96"/>
      <c r="AA488" s="96"/>
      <c r="AB488" s="96"/>
      <c r="AC488" s="96"/>
      <c r="AD488" s="96"/>
      <c r="AE488" s="96"/>
      <c r="AF488" s="96"/>
      <c r="AG488" s="96"/>
      <c r="AH488" s="96"/>
      <c r="AI488" s="96"/>
      <c r="AJ488" s="96"/>
      <c r="AK488" s="96"/>
      <c r="AL488" s="96"/>
      <c r="AM488" s="96"/>
      <c r="AN488" s="96"/>
      <c r="AO488" s="96"/>
      <c r="AP488" s="96"/>
      <c r="AQ488" s="96"/>
      <c r="AR488" s="140"/>
      <c r="AS488" s="140"/>
    </row>
    <row r="489" spans="23:45">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140"/>
      <c r="AS489" s="140"/>
    </row>
    <row r="490" spans="23:45">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140"/>
      <c r="AS490" s="140"/>
    </row>
    <row r="491" spans="23:45">
      <c r="W491" s="96"/>
      <c r="X491" s="96"/>
      <c r="Y491" s="96"/>
      <c r="Z491" s="96"/>
      <c r="AA491" s="96"/>
      <c r="AB491" s="96"/>
      <c r="AC491" s="96"/>
      <c r="AD491" s="96"/>
      <c r="AE491" s="96"/>
      <c r="AF491" s="96"/>
      <c r="AG491" s="96"/>
      <c r="AH491" s="96"/>
      <c r="AI491" s="96"/>
      <c r="AJ491" s="96"/>
      <c r="AK491" s="96"/>
      <c r="AL491" s="96"/>
      <c r="AM491" s="96"/>
      <c r="AN491" s="96"/>
      <c r="AO491" s="96"/>
      <c r="AP491" s="96"/>
      <c r="AQ491" s="96"/>
      <c r="AR491" s="140"/>
      <c r="AS491" s="140"/>
    </row>
    <row r="492" spans="23:45">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140"/>
      <c r="AS492" s="140"/>
    </row>
    <row r="493" spans="23:45">
      <c r="W493" s="96"/>
      <c r="X493" s="96"/>
      <c r="Y493" s="96"/>
      <c r="Z493" s="96"/>
      <c r="AA493" s="96"/>
      <c r="AB493" s="96"/>
      <c r="AC493" s="96"/>
      <c r="AD493" s="96"/>
      <c r="AE493" s="96"/>
      <c r="AF493" s="96"/>
      <c r="AG493" s="96"/>
      <c r="AH493" s="96"/>
      <c r="AI493" s="96"/>
      <c r="AJ493" s="96"/>
      <c r="AK493" s="96"/>
      <c r="AL493" s="96"/>
      <c r="AM493" s="96"/>
      <c r="AN493" s="96"/>
      <c r="AO493" s="96"/>
      <c r="AP493" s="96"/>
      <c r="AQ493" s="96"/>
      <c r="AR493" s="140"/>
      <c r="AS493" s="140"/>
    </row>
    <row r="494" spans="23:45">
      <c r="W494" s="96"/>
      <c r="X494" s="96"/>
      <c r="Y494" s="96"/>
      <c r="Z494" s="96"/>
      <c r="AA494" s="96"/>
      <c r="AB494" s="96"/>
      <c r="AC494" s="96"/>
      <c r="AD494" s="96"/>
      <c r="AE494" s="96"/>
      <c r="AF494" s="96"/>
      <c r="AG494" s="96"/>
      <c r="AH494" s="96"/>
      <c r="AI494" s="96"/>
      <c r="AJ494" s="96"/>
      <c r="AK494" s="96"/>
      <c r="AL494" s="96"/>
      <c r="AM494" s="96"/>
      <c r="AN494" s="96"/>
      <c r="AO494" s="96"/>
      <c r="AP494" s="96"/>
      <c r="AQ494" s="96"/>
      <c r="AR494" s="140"/>
      <c r="AS494" s="140"/>
    </row>
    <row r="495" spans="23:45">
      <c r="W495" s="96"/>
      <c r="X495" s="96"/>
      <c r="Y495" s="96"/>
      <c r="Z495" s="96"/>
      <c r="AA495" s="96"/>
      <c r="AB495" s="96"/>
      <c r="AC495" s="96"/>
      <c r="AD495" s="96"/>
      <c r="AE495" s="96"/>
      <c r="AF495" s="96"/>
      <c r="AG495" s="96"/>
      <c r="AH495" s="96"/>
      <c r="AI495" s="96"/>
      <c r="AJ495" s="96"/>
      <c r="AK495" s="96"/>
      <c r="AL495" s="96"/>
      <c r="AM495" s="96"/>
      <c r="AN495" s="96"/>
      <c r="AO495" s="96"/>
      <c r="AP495" s="96"/>
      <c r="AQ495" s="96"/>
      <c r="AR495" s="140"/>
      <c r="AS495" s="140"/>
    </row>
    <row r="496" spans="23:45">
      <c r="W496" s="96"/>
      <c r="X496" s="96"/>
      <c r="Y496" s="96"/>
      <c r="Z496" s="96"/>
      <c r="AA496" s="96"/>
      <c r="AB496" s="96"/>
      <c r="AC496" s="96"/>
      <c r="AD496" s="96"/>
      <c r="AE496" s="96"/>
      <c r="AF496" s="96"/>
      <c r="AG496" s="96"/>
      <c r="AH496" s="96"/>
      <c r="AI496" s="96"/>
      <c r="AJ496" s="96"/>
      <c r="AK496" s="96"/>
      <c r="AL496" s="96"/>
      <c r="AM496" s="96"/>
      <c r="AN496" s="96"/>
      <c r="AO496" s="96"/>
      <c r="AP496" s="96"/>
      <c r="AQ496" s="96"/>
      <c r="AR496" s="140"/>
      <c r="AS496" s="140"/>
    </row>
    <row r="497" spans="23:45">
      <c r="W497" s="96"/>
      <c r="X497" s="96"/>
      <c r="Y497" s="96"/>
      <c r="Z497" s="96"/>
      <c r="AA497" s="96"/>
      <c r="AB497" s="96"/>
      <c r="AC497" s="96"/>
      <c r="AD497" s="96"/>
      <c r="AE497" s="96"/>
      <c r="AF497" s="96"/>
      <c r="AG497" s="96"/>
      <c r="AH497" s="96"/>
      <c r="AI497" s="96"/>
      <c r="AJ497" s="96"/>
      <c r="AK497" s="96"/>
      <c r="AL497" s="96"/>
      <c r="AM497" s="96"/>
      <c r="AN497" s="96"/>
      <c r="AO497" s="96"/>
      <c r="AP497" s="96"/>
      <c r="AQ497" s="96"/>
      <c r="AR497" s="140"/>
      <c r="AS497" s="140"/>
    </row>
    <row r="498" spans="23:45">
      <c r="W498" s="96"/>
      <c r="X498" s="96"/>
      <c r="Y498" s="96"/>
      <c r="Z498" s="96"/>
      <c r="AA498" s="96"/>
      <c r="AB498" s="96"/>
      <c r="AC498" s="96"/>
      <c r="AD498" s="96"/>
      <c r="AE498" s="96"/>
      <c r="AF498" s="96"/>
      <c r="AG498" s="96"/>
      <c r="AH498" s="96"/>
      <c r="AI498" s="96"/>
      <c r="AJ498" s="96"/>
      <c r="AK498" s="96"/>
      <c r="AL498" s="96"/>
      <c r="AM498" s="96"/>
      <c r="AN498" s="96"/>
      <c r="AO498" s="96"/>
      <c r="AP498" s="96"/>
      <c r="AQ498" s="96"/>
      <c r="AR498" s="140"/>
      <c r="AS498" s="140"/>
    </row>
    <row r="499" spans="23:45">
      <c r="W499" s="96"/>
      <c r="X499" s="96"/>
      <c r="Y499" s="96"/>
      <c r="Z499" s="96"/>
      <c r="AA499" s="96"/>
      <c r="AB499" s="96"/>
      <c r="AC499" s="96"/>
      <c r="AD499" s="96"/>
      <c r="AE499" s="96"/>
      <c r="AF499" s="96"/>
      <c r="AG499" s="96"/>
      <c r="AH499" s="96"/>
      <c r="AI499" s="96"/>
      <c r="AJ499" s="96"/>
      <c r="AK499" s="96"/>
      <c r="AL499" s="96"/>
      <c r="AM499" s="96"/>
      <c r="AN499" s="96"/>
      <c r="AO499" s="96"/>
      <c r="AP499" s="96"/>
      <c r="AQ499" s="96"/>
      <c r="AR499" s="140"/>
      <c r="AS499" s="140"/>
    </row>
    <row r="500" spans="23:45">
      <c r="W500" s="96"/>
      <c r="X500" s="96"/>
      <c r="Y500" s="96"/>
      <c r="Z500" s="96"/>
      <c r="AA500" s="96"/>
      <c r="AB500" s="96"/>
      <c r="AC500" s="96"/>
      <c r="AD500" s="96"/>
      <c r="AE500" s="96"/>
      <c r="AF500" s="96"/>
      <c r="AG500" s="96"/>
      <c r="AH500" s="96"/>
      <c r="AI500" s="96"/>
      <c r="AJ500" s="96"/>
      <c r="AK500" s="96"/>
      <c r="AL500" s="96"/>
      <c r="AM500" s="96"/>
      <c r="AN500" s="96"/>
      <c r="AO500" s="96"/>
      <c r="AP500" s="96"/>
      <c r="AQ500" s="96"/>
      <c r="AR500" s="140"/>
      <c r="AS500" s="140"/>
    </row>
    <row r="501" spans="23:45">
      <c r="W501" s="96"/>
      <c r="X501" s="96"/>
      <c r="Y501" s="96"/>
      <c r="Z501" s="96"/>
      <c r="AA501" s="96"/>
      <c r="AB501" s="96"/>
      <c r="AC501" s="96"/>
      <c r="AD501" s="96"/>
      <c r="AE501" s="96"/>
      <c r="AF501" s="96"/>
      <c r="AG501" s="96"/>
      <c r="AH501" s="96"/>
      <c r="AI501" s="96"/>
      <c r="AJ501" s="96"/>
      <c r="AK501" s="96"/>
      <c r="AL501" s="96"/>
      <c r="AM501" s="96"/>
      <c r="AN501" s="96"/>
      <c r="AO501" s="96"/>
      <c r="AP501" s="96"/>
      <c r="AQ501" s="96"/>
      <c r="AR501" s="140"/>
      <c r="AS501" s="140"/>
    </row>
    <row r="502" spans="23:45">
      <c r="W502" s="96"/>
      <c r="X502" s="96"/>
      <c r="Y502" s="96"/>
      <c r="Z502" s="96"/>
      <c r="AA502" s="96"/>
      <c r="AB502" s="96"/>
      <c r="AC502" s="96"/>
      <c r="AD502" s="96"/>
      <c r="AE502" s="96"/>
      <c r="AF502" s="96"/>
      <c r="AG502" s="96"/>
      <c r="AH502" s="96"/>
      <c r="AI502" s="96"/>
      <c r="AJ502" s="96"/>
      <c r="AK502" s="96"/>
      <c r="AL502" s="96"/>
      <c r="AM502" s="96"/>
      <c r="AN502" s="96"/>
      <c r="AO502" s="96"/>
      <c r="AP502" s="96"/>
      <c r="AQ502" s="96"/>
      <c r="AR502" s="140"/>
      <c r="AS502" s="140"/>
    </row>
    <row r="503" spans="23:45">
      <c r="W503" s="96"/>
      <c r="X503" s="96"/>
      <c r="Y503" s="96"/>
      <c r="Z503" s="96"/>
      <c r="AA503" s="96"/>
      <c r="AB503" s="96"/>
      <c r="AC503" s="96"/>
      <c r="AD503" s="96"/>
      <c r="AE503" s="96"/>
      <c r="AF503" s="96"/>
      <c r="AG503" s="96"/>
      <c r="AH503" s="96"/>
      <c r="AI503" s="96"/>
      <c r="AJ503" s="96"/>
      <c r="AK503" s="96"/>
      <c r="AL503" s="96"/>
      <c r="AM503" s="96"/>
      <c r="AN503" s="96"/>
      <c r="AO503" s="96"/>
      <c r="AP503" s="96"/>
      <c r="AQ503" s="96"/>
      <c r="AR503" s="140"/>
      <c r="AS503" s="140"/>
    </row>
    <row r="504" spans="23:45">
      <c r="W504" s="96"/>
      <c r="X504" s="96"/>
      <c r="Y504" s="96"/>
      <c r="Z504" s="96"/>
      <c r="AA504" s="96"/>
      <c r="AB504" s="96"/>
      <c r="AC504" s="96"/>
      <c r="AD504" s="96"/>
      <c r="AE504" s="96"/>
      <c r="AF504" s="96"/>
      <c r="AG504" s="96"/>
      <c r="AH504" s="96"/>
      <c r="AI504" s="96"/>
      <c r="AJ504" s="96"/>
      <c r="AK504" s="96"/>
      <c r="AL504" s="96"/>
      <c r="AM504" s="96"/>
      <c r="AN504" s="96"/>
      <c r="AO504" s="96"/>
      <c r="AP504" s="96"/>
      <c r="AQ504" s="96"/>
      <c r="AR504" s="140"/>
      <c r="AS504" s="140"/>
    </row>
    <row r="505" spans="23:45">
      <c r="W505" s="96"/>
      <c r="X505" s="96"/>
      <c r="Y505" s="96"/>
      <c r="Z505" s="96"/>
      <c r="AA505" s="96"/>
      <c r="AB505" s="96"/>
      <c r="AC505" s="96"/>
      <c r="AD505" s="96"/>
      <c r="AE505" s="96"/>
      <c r="AF505" s="96"/>
      <c r="AG505" s="96"/>
      <c r="AH505" s="96"/>
      <c r="AI505" s="96"/>
      <c r="AJ505" s="96"/>
      <c r="AK505" s="96"/>
      <c r="AL505" s="96"/>
      <c r="AM505" s="96"/>
      <c r="AN505" s="96"/>
      <c r="AO505" s="96"/>
      <c r="AP505" s="96"/>
      <c r="AQ505" s="96"/>
      <c r="AR505" s="140"/>
      <c r="AS505" s="140"/>
    </row>
    <row r="506" spans="23:45">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140"/>
      <c r="AS506" s="140"/>
    </row>
    <row r="507" spans="23:45">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140"/>
      <c r="AS507" s="140"/>
    </row>
    <row r="508" spans="23:45">
      <c r="W508" s="96"/>
      <c r="X508" s="96"/>
      <c r="Y508" s="96"/>
      <c r="Z508" s="96"/>
      <c r="AA508" s="96"/>
      <c r="AB508" s="96"/>
      <c r="AC508" s="96"/>
      <c r="AD508" s="96"/>
      <c r="AE508" s="96"/>
      <c r="AF508" s="96"/>
      <c r="AG508" s="96"/>
      <c r="AH508" s="96"/>
      <c r="AI508" s="96"/>
      <c r="AJ508" s="96"/>
      <c r="AK508" s="96"/>
      <c r="AL508" s="96"/>
      <c r="AM508" s="96"/>
      <c r="AN508" s="96"/>
      <c r="AO508" s="96"/>
      <c r="AP508" s="96"/>
      <c r="AQ508" s="96"/>
      <c r="AR508" s="140"/>
      <c r="AS508" s="140"/>
    </row>
    <row r="509" spans="23:45">
      <c r="W509" s="96"/>
      <c r="X509" s="96"/>
      <c r="Y509" s="96"/>
      <c r="Z509" s="96"/>
      <c r="AA509" s="96"/>
      <c r="AB509" s="96"/>
      <c r="AC509" s="96"/>
      <c r="AD509" s="96"/>
      <c r="AE509" s="96"/>
      <c r="AF509" s="96"/>
      <c r="AG509" s="96"/>
      <c r="AH509" s="96"/>
      <c r="AI509" s="96"/>
      <c r="AJ509" s="96"/>
      <c r="AK509" s="96"/>
      <c r="AL509" s="96"/>
      <c r="AM509" s="96"/>
      <c r="AN509" s="96"/>
      <c r="AO509" s="96"/>
      <c r="AP509" s="96"/>
      <c r="AQ509" s="96"/>
      <c r="AR509" s="140"/>
      <c r="AS509" s="140"/>
    </row>
    <row r="510" spans="23:45">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140"/>
      <c r="AS510" s="140"/>
    </row>
    <row r="511" spans="23:45">
      <c r="W511" s="96"/>
      <c r="X511" s="96"/>
      <c r="Y511" s="96"/>
      <c r="Z511" s="96"/>
      <c r="AA511" s="96"/>
      <c r="AB511" s="96"/>
      <c r="AC511" s="96"/>
      <c r="AD511" s="96"/>
      <c r="AE511" s="96"/>
      <c r="AF511" s="96"/>
      <c r="AG511" s="96"/>
      <c r="AH511" s="96"/>
      <c r="AI511" s="96"/>
      <c r="AJ511" s="96"/>
      <c r="AK511" s="96"/>
      <c r="AL511" s="96"/>
      <c r="AM511" s="96"/>
      <c r="AN511" s="96"/>
      <c r="AO511" s="96"/>
      <c r="AP511" s="96"/>
      <c r="AQ511" s="96"/>
      <c r="AR511" s="140"/>
      <c r="AS511" s="140"/>
    </row>
    <row r="512" spans="23:45">
      <c r="W512" s="96"/>
      <c r="X512" s="96"/>
      <c r="Y512" s="96"/>
      <c r="Z512" s="96"/>
      <c r="AA512" s="96"/>
      <c r="AB512" s="96"/>
      <c r="AC512" s="96"/>
      <c r="AD512" s="96"/>
      <c r="AE512" s="96"/>
      <c r="AF512" s="96"/>
      <c r="AG512" s="96"/>
      <c r="AH512" s="96"/>
      <c r="AI512" s="96"/>
      <c r="AJ512" s="96"/>
      <c r="AK512" s="96"/>
      <c r="AL512" s="96"/>
      <c r="AM512" s="96"/>
      <c r="AN512" s="96"/>
      <c r="AO512" s="96"/>
      <c r="AP512" s="96"/>
      <c r="AQ512" s="96"/>
      <c r="AR512" s="140"/>
      <c r="AS512" s="140"/>
    </row>
    <row r="513" spans="23:45">
      <c r="W513" s="96"/>
      <c r="X513" s="96"/>
      <c r="Y513" s="96"/>
      <c r="Z513" s="96"/>
      <c r="AA513" s="96"/>
      <c r="AB513" s="96"/>
      <c r="AC513" s="96"/>
      <c r="AD513" s="96"/>
      <c r="AE513" s="96"/>
      <c r="AF513" s="96"/>
      <c r="AG513" s="96"/>
      <c r="AH513" s="96"/>
      <c r="AI513" s="96"/>
      <c r="AJ513" s="96"/>
      <c r="AK513" s="96"/>
      <c r="AL513" s="96"/>
      <c r="AM513" s="96"/>
      <c r="AN513" s="96"/>
      <c r="AO513" s="96"/>
      <c r="AP513" s="96"/>
      <c r="AQ513" s="96"/>
      <c r="AR513" s="140"/>
      <c r="AS513" s="140"/>
    </row>
    <row r="514" spans="23:45">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140"/>
      <c r="AS514" s="140"/>
    </row>
    <row r="515" spans="23:45">
      <c r="W515" s="96"/>
      <c r="X515" s="96"/>
      <c r="Y515" s="96"/>
      <c r="Z515" s="96"/>
      <c r="AA515" s="96"/>
      <c r="AB515" s="96"/>
      <c r="AC515" s="96"/>
      <c r="AD515" s="96"/>
      <c r="AE515" s="96"/>
      <c r="AF515" s="96"/>
      <c r="AG515" s="96"/>
      <c r="AH515" s="96"/>
      <c r="AI515" s="96"/>
      <c r="AJ515" s="96"/>
      <c r="AK515" s="96"/>
      <c r="AL515" s="96"/>
      <c r="AM515" s="96"/>
      <c r="AN515" s="96"/>
      <c r="AO515" s="96"/>
      <c r="AP515" s="96"/>
      <c r="AQ515" s="96"/>
      <c r="AR515" s="140"/>
      <c r="AS515" s="140"/>
    </row>
    <row r="516" spans="23:45">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140"/>
      <c r="AS516" s="140"/>
    </row>
    <row r="517" spans="23:45">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140"/>
      <c r="AS517" s="140"/>
    </row>
    <row r="518" spans="23:45">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140"/>
      <c r="AS518" s="140"/>
    </row>
    <row r="519" spans="23:45">
      <c r="W519" s="96"/>
      <c r="X519" s="96"/>
      <c r="Y519" s="96"/>
      <c r="Z519" s="96"/>
      <c r="AA519" s="96"/>
      <c r="AB519" s="96"/>
      <c r="AC519" s="96"/>
      <c r="AD519" s="96"/>
      <c r="AE519" s="96"/>
      <c r="AF519" s="96"/>
      <c r="AG519" s="96"/>
      <c r="AH519" s="96"/>
      <c r="AI519" s="96"/>
      <c r="AJ519" s="96"/>
      <c r="AK519" s="96"/>
      <c r="AL519" s="96"/>
      <c r="AM519" s="96"/>
      <c r="AN519" s="96"/>
      <c r="AO519" s="96"/>
      <c r="AP519" s="96"/>
      <c r="AQ519" s="96"/>
      <c r="AR519" s="140"/>
      <c r="AS519" s="140"/>
    </row>
    <row r="520" spans="23:45">
      <c r="W520" s="96"/>
      <c r="X520" s="96"/>
      <c r="Y520" s="96"/>
      <c r="Z520" s="96"/>
      <c r="AA520" s="96"/>
      <c r="AB520" s="96"/>
      <c r="AC520" s="96"/>
      <c r="AD520" s="96"/>
      <c r="AE520" s="96"/>
      <c r="AF520" s="96"/>
      <c r="AG520" s="96"/>
      <c r="AH520" s="96"/>
      <c r="AI520" s="96"/>
      <c r="AJ520" s="96"/>
      <c r="AK520" s="96"/>
      <c r="AL520" s="96"/>
      <c r="AM520" s="96"/>
      <c r="AN520" s="96"/>
      <c r="AO520" s="96"/>
      <c r="AP520" s="96"/>
      <c r="AQ520" s="96"/>
      <c r="AR520" s="140"/>
      <c r="AS520" s="140"/>
    </row>
    <row r="521" spans="23:45">
      <c r="W521" s="96"/>
      <c r="X521" s="96"/>
      <c r="Y521" s="96"/>
      <c r="Z521" s="96"/>
      <c r="AA521" s="96"/>
      <c r="AB521" s="96"/>
      <c r="AC521" s="96"/>
      <c r="AD521" s="96"/>
      <c r="AE521" s="96"/>
      <c r="AF521" s="96"/>
      <c r="AG521" s="96"/>
      <c r="AH521" s="96"/>
      <c r="AI521" s="96"/>
      <c r="AJ521" s="96"/>
      <c r="AK521" s="96"/>
      <c r="AL521" s="96"/>
      <c r="AM521" s="96"/>
      <c r="AN521" s="96"/>
      <c r="AO521" s="96"/>
      <c r="AP521" s="96"/>
      <c r="AQ521" s="96"/>
      <c r="AR521" s="140"/>
      <c r="AS521" s="140"/>
    </row>
    <row r="522" spans="23:45">
      <c r="W522" s="96"/>
      <c r="X522" s="96"/>
      <c r="Y522" s="96"/>
      <c r="Z522" s="96"/>
      <c r="AA522" s="96"/>
      <c r="AB522" s="96"/>
      <c r="AC522" s="96"/>
      <c r="AD522" s="96"/>
      <c r="AE522" s="96"/>
      <c r="AF522" s="96"/>
      <c r="AG522" s="96"/>
      <c r="AH522" s="96"/>
      <c r="AI522" s="96"/>
      <c r="AJ522" s="96"/>
      <c r="AK522" s="96"/>
      <c r="AL522" s="96"/>
      <c r="AM522" s="96"/>
      <c r="AN522" s="96"/>
      <c r="AO522" s="96"/>
      <c r="AP522" s="96"/>
      <c r="AQ522" s="96"/>
      <c r="AR522" s="140"/>
      <c r="AS522" s="140"/>
    </row>
    <row r="523" spans="23:45">
      <c r="W523" s="96"/>
      <c r="X523" s="96"/>
      <c r="Y523" s="96"/>
      <c r="Z523" s="96"/>
      <c r="AA523" s="96"/>
      <c r="AB523" s="96"/>
      <c r="AC523" s="96"/>
      <c r="AD523" s="96"/>
      <c r="AE523" s="96"/>
      <c r="AF523" s="96"/>
      <c r="AG523" s="96"/>
      <c r="AH523" s="96"/>
      <c r="AI523" s="96"/>
      <c r="AJ523" s="96"/>
      <c r="AK523" s="96"/>
      <c r="AL523" s="96"/>
      <c r="AM523" s="96"/>
      <c r="AN523" s="96"/>
      <c r="AO523" s="96"/>
      <c r="AP523" s="96"/>
      <c r="AQ523" s="96"/>
      <c r="AR523" s="140"/>
      <c r="AS523" s="140"/>
    </row>
    <row r="524" spans="23:45">
      <c r="W524" s="96"/>
      <c r="X524" s="96"/>
      <c r="Y524" s="96"/>
      <c r="Z524" s="96"/>
      <c r="AA524" s="96"/>
      <c r="AB524" s="96"/>
      <c r="AC524" s="96"/>
      <c r="AD524" s="96"/>
      <c r="AE524" s="96"/>
      <c r="AF524" s="96"/>
      <c r="AG524" s="96"/>
      <c r="AH524" s="96"/>
      <c r="AI524" s="96"/>
      <c r="AJ524" s="96"/>
      <c r="AK524" s="96"/>
      <c r="AL524" s="96"/>
      <c r="AM524" s="96"/>
      <c r="AN524" s="96"/>
      <c r="AO524" s="96"/>
      <c r="AP524" s="96"/>
      <c r="AQ524" s="96"/>
      <c r="AR524" s="140"/>
      <c r="AS524" s="140"/>
    </row>
    <row r="525" spans="23:45">
      <c r="W525" s="96"/>
      <c r="X525" s="96"/>
      <c r="Y525" s="96"/>
      <c r="Z525" s="96"/>
      <c r="AA525" s="96"/>
      <c r="AB525" s="96"/>
      <c r="AC525" s="96"/>
      <c r="AD525" s="96"/>
      <c r="AE525" s="96"/>
      <c r="AF525" s="96"/>
      <c r="AG525" s="96"/>
      <c r="AH525" s="96"/>
      <c r="AI525" s="96"/>
      <c r="AJ525" s="96"/>
      <c r="AK525" s="96"/>
      <c r="AL525" s="96"/>
      <c r="AM525" s="96"/>
      <c r="AN525" s="96"/>
      <c r="AO525" s="96"/>
      <c r="AP525" s="96"/>
      <c r="AQ525" s="96"/>
      <c r="AR525" s="140"/>
      <c r="AS525" s="140"/>
    </row>
    <row r="526" spans="23:45">
      <c r="W526" s="96"/>
      <c r="X526" s="96"/>
      <c r="Y526" s="96"/>
      <c r="Z526" s="96"/>
      <c r="AA526" s="96"/>
      <c r="AB526" s="96"/>
      <c r="AC526" s="96"/>
      <c r="AD526" s="96"/>
      <c r="AE526" s="96"/>
      <c r="AF526" s="96"/>
      <c r="AG526" s="96"/>
      <c r="AH526" s="96"/>
      <c r="AI526" s="96"/>
      <c r="AJ526" s="96"/>
      <c r="AK526" s="96"/>
      <c r="AL526" s="96"/>
      <c r="AM526" s="96"/>
      <c r="AN526" s="96"/>
      <c r="AO526" s="96"/>
      <c r="AP526" s="96"/>
      <c r="AQ526" s="96"/>
      <c r="AR526" s="140"/>
      <c r="AS526" s="140"/>
    </row>
    <row r="527" spans="23:45">
      <c r="W527" s="96"/>
      <c r="X527" s="96"/>
      <c r="Y527" s="96"/>
      <c r="Z527" s="96"/>
      <c r="AA527" s="96"/>
      <c r="AB527" s="96"/>
      <c r="AC527" s="96"/>
      <c r="AD527" s="96"/>
      <c r="AE527" s="96"/>
      <c r="AF527" s="96"/>
      <c r="AG527" s="96"/>
      <c r="AH527" s="96"/>
      <c r="AI527" s="96"/>
      <c r="AJ527" s="96"/>
      <c r="AK527" s="96"/>
      <c r="AL527" s="96"/>
      <c r="AM527" s="96"/>
      <c r="AN527" s="96"/>
      <c r="AO527" s="96"/>
      <c r="AP527" s="96"/>
      <c r="AQ527" s="96"/>
      <c r="AR527" s="140"/>
      <c r="AS527" s="140"/>
    </row>
    <row r="528" spans="23:45">
      <c r="W528" s="96"/>
      <c r="X528" s="96"/>
      <c r="Y528" s="96"/>
      <c r="Z528" s="96"/>
      <c r="AA528" s="96"/>
      <c r="AB528" s="96"/>
      <c r="AC528" s="96"/>
      <c r="AD528" s="96"/>
      <c r="AE528" s="96"/>
      <c r="AF528" s="96"/>
      <c r="AG528" s="96"/>
      <c r="AH528" s="96"/>
      <c r="AI528" s="96"/>
      <c r="AJ528" s="96"/>
      <c r="AK528" s="96"/>
      <c r="AL528" s="96"/>
      <c r="AM528" s="96"/>
      <c r="AN528" s="96"/>
      <c r="AO528" s="96"/>
      <c r="AP528" s="96"/>
      <c r="AQ528" s="96"/>
      <c r="AR528" s="140"/>
      <c r="AS528" s="140"/>
    </row>
    <row r="529" spans="23:45">
      <c r="W529" s="96"/>
      <c r="X529" s="96"/>
      <c r="Y529" s="96"/>
      <c r="Z529" s="96"/>
      <c r="AA529" s="96"/>
      <c r="AB529" s="96"/>
      <c r="AC529" s="96"/>
      <c r="AD529" s="96"/>
      <c r="AE529" s="96"/>
      <c r="AF529" s="96"/>
      <c r="AG529" s="96"/>
      <c r="AH529" s="96"/>
      <c r="AI529" s="96"/>
      <c r="AJ529" s="96"/>
      <c r="AK529" s="96"/>
      <c r="AL529" s="96"/>
      <c r="AM529" s="96"/>
      <c r="AN529" s="96"/>
      <c r="AO529" s="96"/>
      <c r="AP529" s="96"/>
      <c r="AQ529" s="96"/>
      <c r="AR529" s="140"/>
      <c r="AS529" s="140"/>
    </row>
    <row r="530" spans="23:45">
      <c r="W530" s="96"/>
      <c r="X530" s="96"/>
      <c r="Y530" s="96"/>
      <c r="Z530" s="96"/>
      <c r="AA530" s="96"/>
      <c r="AB530" s="96"/>
      <c r="AC530" s="96"/>
      <c r="AD530" s="96"/>
      <c r="AE530" s="96"/>
      <c r="AF530" s="96"/>
      <c r="AG530" s="96"/>
      <c r="AH530" s="96"/>
      <c r="AI530" s="96"/>
      <c r="AJ530" s="96"/>
      <c r="AK530" s="96"/>
      <c r="AL530" s="96"/>
      <c r="AM530" s="96"/>
      <c r="AN530" s="96"/>
      <c r="AO530" s="96"/>
      <c r="AP530" s="96"/>
      <c r="AQ530" s="96"/>
      <c r="AR530" s="140"/>
      <c r="AS530" s="140"/>
    </row>
    <row r="531" spans="23:45">
      <c r="W531" s="96"/>
      <c r="X531" s="96"/>
      <c r="Y531" s="96"/>
      <c r="Z531" s="96"/>
      <c r="AA531" s="96"/>
      <c r="AB531" s="96"/>
      <c r="AC531" s="96"/>
      <c r="AD531" s="96"/>
      <c r="AE531" s="96"/>
      <c r="AF531" s="96"/>
      <c r="AG531" s="96"/>
      <c r="AH531" s="96"/>
      <c r="AI531" s="96"/>
      <c r="AJ531" s="96"/>
      <c r="AK531" s="96"/>
      <c r="AL531" s="96"/>
      <c r="AM531" s="96"/>
      <c r="AN531" s="96"/>
      <c r="AO531" s="96"/>
      <c r="AP531" s="96"/>
      <c r="AQ531" s="96"/>
      <c r="AR531" s="140"/>
      <c r="AS531" s="140"/>
    </row>
    <row r="532" spans="23:45">
      <c r="W532" s="96"/>
      <c r="X532" s="96"/>
      <c r="Y532" s="96"/>
      <c r="Z532" s="96"/>
      <c r="AA532" s="96"/>
      <c r="AB532" s="96"/>
      <c r="AC532" s="96"/>
      <c r="AD532" s="96"/>
      <c r="AE532" s="96"/>
      <c r="AF532" s="96"/>
      <c r="AG532" s="96"/>
      <c r="AH532" s="96"/>
      <c r="AI532" s="96"/>
      <c r="AJ532" s="96"/>
      <c r="AK532" s="96"/>
      <c r="AL532" s="96"/>
      <c r="AM532" s="96"/>
      <c r="AN532" s="96"/>
      <c r="AO532" s="96"/>
      <c r="AP532" s="96"/>
      <c r="AQ532" s="96"/>
      <c r="AR532" s="140"/>
      <c r="AS532" s="140"/>
    </row>
    <row r="533" spans="23:45">
      <c r="W533" s="96"/>
      <c r="X533" s="96"/>
      <c r="Y533" s="96"/>
      <c r="Z533" s="96"/>
      <c r="AA533" s="96"/>
      <c r="AB533" s="96"/>
      <c r="AC533" s="96"/>
      <c r="AD533" s="96"/>
      <c r="AE533" s="96"/>
      <c r="AF533" s="96"/>
      <c r="AG533" s="96"/>
      <c r="AH533" s="96"/>
      <c r="AI533" s="96"/>
      <c r="AJ533" s="96"/>
      <c r="AK533" s="96"/>
      <c r="AL533" s="96"/>
      <c r="AM533" s="96"/>
      <c r="AN533" s="96"/>
      <c r="AO533" s="96"/>
      <c r="AP533" s="96"/>
      <c r="AQ533" s="96"/>
      <c r="AR533" s="140"/>
      <c r="AS533" s="140"/>
    </row>
    <row r="534" spans="23:45">
      <c r="W534" s="96"/>
      <c r="X534" s="96"/>
      <c r="Y534" s="96"/>
      <c r="Z534" s="96"/>
      <c r="AA534" s="96"/>
      <c r="AB534" s="96"/>
      <c r="AC534" s="96"/>
      <c r="AD534" s="96"/>
      <c r="AE534" s="96"/>
      <c r="AF534" s="96"/>
      <c r="AG534" s="96"/>
      <c r="AH534" s="96"/>
      <c r="AI534" s="96"/>
      <c r="AJ534" s="96"/>
      <c r="AK534" s="96"/>
      <c r="AL534" s="96"/>
      <c r="AM534" s="96"/>
      <c r="AN534" s="96"/>
      <c r="AO534" s="96"/>
      <c r="AP534" s="96"/>
      <c r="AQ534" s="96"/>
      <c r="AR534" s="140"/>
      <c r="AS534" s="140"/>
    </row>
    <row r="535" spans="23:45">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140"/>
      <c r="AS535" s="140"/>
    </row>
    <row r="536" spans="23:45">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140"/>
      <c r="AS536" s="140"/>
    </row>
    <row r="537" spans="23:45">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140"/>
      <c r="AS537" s="140"/>
    </row>
    <row r="538" spans="23:45">
      <c r="W538" s="96"/>
      <c r="X538" s="96"/>
      <c r="Y538" s="96"/>
      <c r="Z538" s="96"/>
      <c r="AA538" s="96"/>
      <c r="AB538" s="96"/>
      <c r="AC538" s="96"/>
      <c r="AD538" s="96"/>
      <c r="AE538" s="96"/>
      <c r="AF538" s="96"/>
      <c r="AG538" s="96"/>
      <c r="AH538" s="96"/>
      <c r="AI538" s="96"/>
      <c r="AJ538" s="96"/>
      <c r="AK538" s="96"/>
      <c r="AL538" s="96"/>
      <c r="AM538" s="96"/>
      <c r="AN538" s="96"/>
      <c r="AO538" s="96"/>
      <c r="AP538" s="96"/>
      <c r="AQ538" s="96"/>
      <c r="AR538" s="140"/>
      <c r="AS538" s="140"/>
    </row>
    <row r="539" spans="23:45">
      <c r="W539" s="96"/>
      <c r="X539" s="96"/>
      <c r="Y539" s="96"/>
      <c r="Z539" s="96"/>
      <c r="AA539" s="96"/>
      <c r="AB539" s="96"/>
      <c r="AC539" s="96"/>
      <c r="AD539" s="96"/>
      <c r="AE539" s="96"/>
      <c r="AF539" s="96"/>
      <c r="AG539" s="96"/>
      <c r="AH539" s="96"/>
      <c r="AI539" s="96"/>
      <c r="AJ539" s="96"/>
      <c r="AK539" s="96"/>
      <c r="AL539" s="96"/>
      <c r="AM539" s="96"/>
      <c r="AN539" s="96"/>
      <c r="AO539" s="96"/>
      <c r="AP539" s="96"/>
      <c r="AQ539" s="96"/>
      <c r="AR539" s="140"/>
      <c r="AS539" s="140"/>
    </row>
    <row r="540" spans="23:45">
      <c r="W540" s="96"/>
      <c r="X540" s="96"/>
      <c r="Y540" s="96"/>
      <c r="Z540" s="96"/>
      <c r="AA540" s="96"/>
      <c r="AB540" s="96"/>
      <c r="AC540" s="96"/>
      <c r="AD540" s="96"/>
      <c r="AE540" s="96"/>
      <c r="AF540" s="96"/>
      <c r="AG540" s="96"/>
      <c r="AH540" s="96"/>
      <c r="AI540" s="96"/>
      <c r="AJ540" s="96"/>
      <c r="AK540" s="96"/>
      <c r="AL540" s="96"/>
      <c r="AM540" s="96"/>
      <c r="AN540" s="96"/>
      <c r="AO540" s="96"/>
      <c r="AP540" s="96"/>
      <c r="AQ540" s="96"/>
      <c r="AR540" s="140"/>
      <c r="AS540" s="140"/>
    </row>
    <row r="541" spans="23:45">
      <c r="W541" s="96"/>
      <c r="X541" s="96"/>
      <c r="Y541" s="96"/>
      <c r="Z541" s="96"/>
      <c r="AA541" s="96"/>
      <c r="AB541" s="96"/>
      <c r="AC541" s="96"/>
      <c r="AD541" s="96"/>
      <c r="AE541" s="96"/>
      <c r="AF541" s="96"/>
      <c r="AG541" s="96"/>
      <c r="AH541" s="96"/>
      <c r="AI541" s="96"/>
      <c r="AJ541" s="96"/>
      <c r="AK541" s="96"/>
      <c r="AL541" s="96"/>
      <c r="AM541" s="96"/>
      <c r="AN541" s="96"/>
      <c r="AO541" s="96"/>
      <c r="AP541" s="96"/>
      <c r="AQ541" s="96"/>
      <c r="AR541" s="140"/>
      <c r="AS541" s="140"/>
    </row>
    <row r="542" spans="23:45">
      <c r="W542" s="96"/>
      <c r="X542" s="96"/>
      <c r="Y542" s="96"/>
      <c r="Z542" s="96"/>
      <c r="AA542" s="96"/>
      <c r="AB542" s="96"/>
      <c r="AC542" s="96"/>
      <c r="AD542" s="96"/>
      <c r="AE542" s="96"/>
      <c r="AF542" s="96"/>
      <c r="AG542" s="96"/>
      <c r="AH542" s="96"/>
      <c r="AI542" s="96"/>
      <c r="AJ542" s="96"/>
      <c r="AK542" s="96"/>
      <c r="AL542" s="96"/>
      <c r="AM542" s="96"/>
      <c r="AN542" s="96"/>
      <c r="AO542" s="96"/>
      <c r="AP542" s="96"/>
      <c r="AQ542" s="96"/>
      <c r="AR542" s="140"/>
      <c r="AS542" s="140"/>
    </row>
    <row r="543" spans="23:45">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140"/>
      <c r="AS543" s="140"/>
    </row>
    <row r="544" spans="23:45">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140"/>
      <c r="AS544" s="140"/>
    </row>
    <row r="545" spans="23:45">
      <c r="W545" s="96"/>
      <c r="X545" s="96"/>
      <c r="Y545" s="96"/>
      <c r="Z545" s="96"/>
      <c r="AA545" s="96"/>
      <c r="AB545" s="96"/>
      <c r="AC545" s="96"/>
      <c r="AD545" s="96"/>
      <c r="AE545" s="96"/>
      <c r="AF545" s="96"/>
      <c r="AG545" s="96"/>
      <c r="AH545" s="96"/>
      <c r="AI545" s="96"/>
      <c r="AJ545" s="96"/>
      <c r="AK545" s="96"/>
      <c r="AL545" s="96"/>
      <c r="AM545" s="96"/>
      <c r="AN545" s="96"/>
      <c r="AO545" s="96"/>
      <c r="AP545" s="96"/>
      <c r="AQ545" s="96"/>
      <c r="AR545" s="140"/>
      <c r="AS545" s="140"/>
    </row>
    <row r="546" spans="23:45">
      <c r="W546" s="96"/>
      <c r="X546" s="96"/>
      <c r="Y546" s="96"/>
      <c r="Z546" s="96"/>
      <c r="AA546" s="96"/>
      <c r="AB546" s="96"/>
      <c r="AC546" s="96"/>
      <c r="AD546" s="96"/>
      <c r="AE546" s="96"/>
      <c r="AF546" s="96"/>
      <c r="AG546" s="96"/>
      <c r="AH546" s="96"/>
      <c r="AI546" s="96"/>
      <c r="AJ546" s="96"/>
      <c r="AK546" s="96"/>
      <c r="AL546" s="96"/>
      <c r="AM546" s="96"/>
      <c r="AN546" s="96"/>
      <c r="AO546" s="96"/>
      <c r="AP546" s="96"/>
      <c r="AQ546" s="96"/>
      <c r="AR546" s="140"/>
      <c r="AS546" s="140"/>
    </row>
    <row r="547" spans="23:45">
      <c r="W547" s="96"/>
      <c r="X547" s="96"/>
      <c r="Y547" s="96"/>
      <c r="Z547" s="96"/>
      <c r="AA547" s="96"/>
      <c r="AB547" s="96"/>
      <c r="AC547" s="96"/>
      <c r="AD547" s="96"/>
      <c r="AE547" s="96"/>
      <c r="AF547" s="96"/>
      <c r="AG547" s="96"/>
      <c r="AH547" s="96"/>
      <c r="AI547" s="96"/>
      <c r="AJ547" s="96"/>
      <c r="AK547" s="96"/>
      <c r="AL547" s="96"/>
      <c r="AM547" s="96"/>
      <c r="AN547" s="96"/>
      <c r="AO547" s="96"/>
      <c r="AP547" s="96"/>
      <c r="AQ547" s="96"/>
      <c r="AR547" s="140"/>
      <c r="AS547" s="140"/>
    </row>
    <row r="548" spans="23:45">
      <c r="W548" s="96"/>
      <c r="X548" s="96"/>
      <c r="Y548" s="96"/>
      <c r="Z548" s="96"/>
      <c r="AA548" s="96"/>
      <c r="AB548" s="96"/>
      <c r="AC548" s="96"/>
      <c r="AD548" s="96"/>
      <c r="AE548" s="96"/>
      <c r="AF548" s="96"/>
      <c r="AG548" s="96"/>
      <c r="AH548" s="96"/>
      <c r="AI548" s="96"/>
      <c r="AJ548" s="96"/>
      <c r="AK548" s="96"/>
      <c r="AL548" s="96"/>
      <c r="AM548" s="96"/>
      <c r="AN548" s="96"/>
      <c r="AO548" s="96"/>
      <c r="AP548" s="96"/>
      <c r="AQ548" s="96"/>
      <c r="AR548" s="140"/>
      <c r="AS548" s="140"/>
    </row>
    <row r="549" spans="23:45">
      <c r="W549" s="96"/>
      <c r="X549" s="96"/>
      <c r="Y549" s="96"/>
      <c r="Z549" s="96"/>
      <c r="AA549" s="96"/>
      <c r="AB549" s="96"/>
      <c r="AC549" s="96"/>
      <c r="AD549" s="96"/>
      <c r="AE549" s="96"/>
      <c r="AF549" s="96"/>
      <c r="AG549" s="96"/>
      <c r="AH549" s="96"/>
      <c r="AI549" s="96"/>
      <c r="AJ549" s="96"/>
      <c r="AK549" s="96"/>
      <c r="AL549" s="96"/>
      <c r="AM549" s="96"/>
      <c r="AN549" s="96"/>
      <c r="AO549" s="96"/>
      <c r="AP549" s="96"/>
      <c r="AQ549" s="96"/>
      <c r="AR549" s="140"/>
      <c r="AS549" s="140"/>
    </row>
    <row r="550" spans="23:45">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140"/>
      <c r="AS550" s="140"/>
    </row>
    <row r="551" spans="23:45">
      <c r="W551" s="96"/>
      <c r="X551" s="96"/>
      <c r="Y551" s="96"/>
      <c r="Z551" s="96"/>
      <c r="AA551" s="96"/>
      <c r="AB551" s="96"/>
      <c r="AC551" s="96"/>
      <c r="AD551" s="96"/>
      <c r="AE551" s="96"/>
      <c r="AF551" s="96"/>
      <c r="AG551" s="96"/>
      <c r="AH551" s="96"/>
      <c r="AI551" s="96"/>
      <c r="AJ551" s="96"/>
      <c r="AK551" s="96"/>
      <c r="AL551" s="96"/>
      <c r="AM551" s="96"/>
      <c r="AN551" s="96"/>
      <c r="AO551" s="96"/>
      <c r="AP551" s="96"/>
      <c r="AQ551" s="96"/>
      <c r="AR551" s="140"/>
      <c r="AS551" s="140"/>
    </row>
    <row r="552" spans="23:45">
      <c r="W552" s="96"/>
      <c r="X552" s="96"/>
      <c r="Y552" s="96"/>
      <c r="Z552" s="96"/>
      <c r="AA552" s="96"/>
      <c r="AB552" s="96"/>
      <c r="AC552" s="96"/>
      <c r="AD552" s="96"/>
      <c r="AE552" s="96"/>
      <c r="AF552" s="96"/>
      <c r="AG552" s="96"/>
      <c r="AH552" s="96"/>
      <c r="AI552" s="96"/>
      <c r="AJ552" s="96"/>
      <c r="AK552" s="96"/>
      <c r="AL552" s="96"/>
      <c r="AM552" s="96"/>
      <c r="AN552" s="96"/>
      <c r="AO552" s="96"/>
      <c r="AP552" s="96"/>
      <c r="AQ552" s="96"/>
      <c r="AR552" s="140"/>
      <c r="AS552" s="140"/>
    </row>
    <row r="553" spans="23:45">
      <c r="W553" s="96"/>
      <c r="X553" s="96"/>
      <c r="Y553" s="96"/>
      <c r="Z553" s="96"/>
      <c r="AA553" s="96"/>
      <c r="AB553" s="96"/>
      <c r="AC553" s="96"/>
      <c r="AD553" s="96"/>
      <c r="AE553" s="96"/>
      <c r="AF553" s="96"/>
      <c r="AG553" s="96"/>
      <c r="AH553" s="96"/>
      <c r="AI553" s="96"/>
      <c r="AJ553" s="96"/>
      <c r="AK553" s="96"/>
      <c r="AL553" s="96"/>
      <c r="AM553" s="96"/>
      <c r="AN553" s="96"/>
      <c r="AO553" s="96"/>
      <c r="AP553" s="96"/>
      <c r="AQ553" s="96"/>
      <c r="AR553" s="140"/>
      <c r="AS553" s="140"/>
    </row>
    <row r="554" spans="23:45">
      <c r="W554" s="96"/>
      <c r="X554" s="96"/>
      <c r="Y554" s="96"/>
      <c r="Z554" s="96"/>
      <c r="AA554" s="96"/>
      <c r="AB554" s="96"/>
      <c r="AC554" s="96"/>
      <c r="AD554" s="96"/>
      <c r="AE554" s="96"/>
      <c r="AF554" s="96"/>
      <c r="AG554" s="96"/>
      <c r="AH554" s="96"/>
      <c r="AI554" s="96"/>
      <c r="AJ554" s="96"/>
      <c r="AK554" s="96"/>
      <c r="AL554" s="96"/>
      <c r="AM554" s="96"/>
      <c r="AN554" s="96"/>
      <c r="AO554" s="96"/>
      <c r="AP554" s="96"/>
      <c r="AQ554" s="96"/>
      <c r="AR554" s="140"/>
      <c r="AS554" s="140"/>
    </row>
    <row r="555" spans="23:45">
      <c r="W555" s="96"/>
      <c r="X555" s="96"/>
      <c r="Y555" s="96"/>
      <c r="Z555" s="96"/>
      <c r="AA555" s="96"/>
      <c r="AB555" s="96"/>
      <c r="AC555" s="96"/>
      <c r="AD555" s="96"/>
      <c r="AE555" s="96"/>
      <c r="AF555" s="96"/>
      <c r="AG555" s="96"/>
      <c r="AH555" s="96"/>
      <c r="AI555" s="96"/>
      <c r="AJ555" s="96"/>
      <c r="AK555" s="96"/>
      <c r="AL555" s="96"/>
      <c r="AM555" s="96"/>
      <c r="AN555" s="96"/>
      <c r="AO555" s="96"/>
      <c r="AP555" s="96"/>
      <c r="AQ555" s="96"/>
      <c r="AR555" s="140"/>
      <c r="AS555" s="140"/>
    </row>
    <row r="556" spans="23:45">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140"/>
      <c r="AS556" s="140"/>
    </row>
    <row r="557" spans="23:45">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140"/>
      <c r="AS557" s="140"/>
    </row>
    <row r="558" spans="23:45">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140"/>
      <c r="AS558" s="140"/>
    </row>
    <row r="559" spans="23:45">
      <c r="W559" s="96"/>
      <c r="X559" s="96"/>
      <c r="Y559" s="96"/>
      <c r="Z559" s="96"/>
      <c r="AA559" s="96"/>
      <c r="AB559" s="96"/>
      <c r="AC559" s="96"/>
      <c r="AD559" s="96"/>
      <c r="AE559" s="96"/>
      <c r="AF559" s="96"/>
      <c r="AG559" s="96"/>
      <c r="AH559" s="96"/>
      <c r="AI559" s="96"/>
      <c r="AJ559" s="96"/>
      <c r="AK559" s="96"/>
      <c r="AL559" s="96"/>
      <c r="AM559" s="96"/>
      <c r="AN559" s="96"/>
      <c r="AO559" s="96"/>
      <c r="AP559" s="96"/>
      <c r="AQ559" s="96"/>
      <c r="AR559" s="140"/>
      <c r="AS559" s="140"/>
    </row>
    <row r="560" spans="23:45">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140"/>
      <c r="AS560" s="140"/>
    </row>
    <row r="561" spans="23:45">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140"/>
      <c r="AS561" s="140"/>
    </row>
    <row r="562" spans="23:45">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140"/>
      <c r="AS562" s="140"/>
    </row>
    <row r="563" spans="23:45">
      <c r="W563" s="96"/>
      <c r="X563" s="96"/>
      <c r="Y563" s="96"/>
      <c r="Z563" s="96"/>
      <c r="AA563" s="96"/>
      <c r="AB563" s="96"/>
      <c r="AC563" s="96"/>
      <c r="AD563" s="96"/>
      <c r="AE563" s="96"/>
      <c r="AF563" s="96"/>
      <c r="AG563" s="96"/>
      <c r="AH563" s="96"/>
      <c r="AI563" s="96"/>
      <c r="AJ563" s="96"/>
      <c r="AK563" s="96"/>
      <c r="AL563" s="96"/>
      <c r="AM563" s="96"/>
      <c r="AN563" s="96"/>
      <c r="AO563" s="96"/>
      <c r="AP563" s="96"/>
      <c r="AQ563" s="96"/>
      <c r="AR563" s="140"/>
      <c r="AS563" s="140"/>
    </row>
    <row r="564" spans="23:45">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140"/>
      <c r="AS564" s="140"/>
    </row>
    <row r="565" spans="23:45">
      <c r="W565" s="96"/>
      <c r="X565" s="96"/>
      <c r="Y565" s="96"/>
      <c r="Z565" s="96"/>
      <c r="AA565" s="96"/>
      <c r="AB565" s="96"/>
      <c r="AC565" s="96"/>
      <c r="AD565" s="96"/>
      <c r="AE565" s="96"/>
      <c r="AF565" s="96"/>
      <c r="AG565" s="96"/>
      <c r="AH565" s="96"/>
      <c r="AI565" s="96"/>
      <c r="AJ565" s="96"/>
      <c r="AK565" s="96"/>
      <c r="AL565" s="96"/>
      <c r="AM565" s="96"/>
      <c r="AN565" s="96"/>
      <c r="AO565" s="96"/>
      <c r="AP565" s="96"/>
      <c r="AQ565" s="96"/>
      <c r="AR565" s="140"/>
      <c r="AS565" s="140"/>
    </row>
    <row r="566" spans="23:45">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140"/>
      <c r="AS566" s="140"/>
    </row>
    <row r="567" spans="23:45">
      <c r="W567" s="96"/>
      <c r="X567" s="96"/>
      <c r="Y567" s="96"/>
      <c r="Z567" s="96"/>
      <c r="AA567" s="96"/>
      <c r="AB567" s="96"/>
      <c r="AC567" s="96"/>
      <c r="AD567" s="96"/>
      <c r="AE567" s="96"/>
      <c r="AF567" s="96"/>
      <c r="AG567" s="96"/>
      <c r="AH567" s="96"/>
      <c r="AI567" s="96"/>
      <c r="AJ567" s="96"/>
      <c r="AK567" s="96"/>
      <c r="AL567" s="96"/>
      <c r="AM567" s="96"/>
      <c r="AN567" s="96"/>
      <c r="AO567" s="96"/>
      <c r="AP567" s="96"/>
      <c r="AQ567" s="96"/>
      <c r="AR567" s="140"/>
      <c r="AS567" s="140"/>
    </row>
    <row r="568" spans="23:45">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140"/>
      <c r="AS568" s="140"/>
    </row>
    <row r="569" spans="23:45">
      <c r="W569" s="96"/>
      <c r="X569" s="96"/>
      <c r="Y569" s="96"/>
      <c r="Z569" s="96"/>
      <c r="AA569" s="96"/>
      <c r="AB569" s="96"/>
      <c r="AC569" s="96"/>
      <c r="AD569" s="96"/>
      <c r="AE569" s="96"/>
      <c r="AF569" s="96"/>
      <c r="AG569" s="96"/>
      <c r="AH569" s="96"/>
      <c r="AI569" s="96"/>
      <c r="AJ569" s="96"/>
      <c r="AK569" s="96"/>
      <c r="AL569" s="96"/>
      <c r="AM569" s="96"/>
      <c r="AN569" s="96"/>
      <c r="AO569" s="96"/>
      <c r="AP569" s="96"/>
      <c r="AQ569" s="96"/>
      <c r="AR569" s="140"/>
      <c r="AS569" s="140"/>
    </row>
    <row r="570" spans="23:45">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140"/>
      <c r="AS570" s="140"/>
    </row>
    <row r="571" spans="23:45">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140"/>
      <c r="AS571" s="140"/>
    </row>
    <row r="572" spans="23:45">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140"/>
      <c r="AS572" s="140"/>
    </row>
    <row r="573" spans="23:45">
      <c r="W573" s="96"/>
      <c r="X573" s="96"/>
      <c r="Y573" s="96"/>
      <c r="Z573" s="96"/>
      <c r="AA573" s="96"/>
      <c r="AB573" s="96"/>
      <c r="AC573" s="96"/>
      <c r="AD573" s="96"/>
      <c r="AE573" s="96"/>
      <c r="AF573" s="96"/>
      <c r="AG573" s="96"/>
      <c r="AH573" s="96"/>
      <c r="AI573" s="96"/>
      <c r="AJ573" s="96"/>
      <c r="AK573" s="96"/>
      <c r="AL573" s="96"/>
      <c r="AM573" s="96"/>
      <c r="AN573" s="96"/>
      <c r="AO573" s="96"/>
      <c r="AP573" s="96"/>
      <c r="AQ573" s="96"/>
      <c r="AR573" s="140"/>
      <c r="AS573" s="140"/>
    </row>
    <row r="574" spans="23:45">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140"/>
      <c r="AS574" s="140"/>
    </row>
    <row r="575" spans="23:45">
      <c r="W575" s="96"/>
      <c r="X575" s="96"/>
      <c r="Y575" s="96"/>
      <c r="Z575" s="96"/>
      <c r="AA575" s="96"/>
      <c r="AB575" s="96"/>
      <c r="AC575" s="96"/>
      <c r="AD575" s="96"/>
      <c r="AE575" s="96"/>
      <c r="AF575" s="96"/>
      <c r="AG575" s="96"/>
      <c r="AH575" s="96"/>
      <c r="AI575" s="96"/>
      <c r="AJ575" s="96"/>
      <c r="AK575" s="96"/>
      <c r="AL575" s="96"/>
      <c r="AM575" s="96"/>
      <c r="AN575" s="96"/>
      <c r="AO575" s="96"/>
      <c r="AP575" s="96"/>
      <c r="AQ575" s="96"/>
      <c r="AR575" s="140"/>
      <c r="AS575" s="140"/>
    </row>
    <row r="576" spans="23:45">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140"/>
      <c r="AS576" s="140"/>
    </row>
    <row r="577" spans="23:45">
      <c r="W577" s="96"/>
      <c r="X577" s="96"/>
      <c r="Y577" s="96"/>
      <c r="Z577" s="96"/>
      <c r="AA577" s="96"/>
      <c r="AB577" s="96"/>
      <c r="AC577" s="96"/>
      <c r="AD577" s="96"/>
      <c r="AE577" s="96"/>
      <c r="AF577" s="96"/>
      <c r="AG577" s="96"/>
      <c r="AH577" s="96"/>
      <c r="AI577" s="96"/>
      <c r="AJ577" s="96"/>
      <c r="AK577" s="96"/>
      <c r="AL577" s="96"/>
      <c r="AM577" s="96"/>
      <c r="AN577" s="96"/>
      <c r="AO577" s="96"/>
      <c r="AP577" s="96"/>
      <c r="AQ577" s="96"/>
      <c r="AR577" s="140"/>
      <c r="AS577" s="140"/>
    </row>
    <row r="578" spans="23:45">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140"/>
      <c r="AS578" s="140"/>
    </row>
    <row r="579" spans="23:45">
      <c r="W579" s="96"/>
      <c r="X579" s="96"/>
      <c r="Y579" s="96"/>
      <c r="Z579" s="96"/>
      <c r="AA579" s="96"/>
      <c r="AB579" s="96"/>
      <c r="AC579" s="96"/>
      <c r="AD579" s="96"/>
      <c r="AE579" s="96"/>
      <c r="AF579" s="96"/>
      <c r="AG579" s="96"/>
      <c r="AH579" s="96"/>
      <c r="AI579" s="96"/>
      <c r="AJ579" s="96"/>
      <c r="AK579" s="96"/>
      <c r="AL579" s="96"/>
      <c r="AM579" s="96"/>
      <c r="AN579" s="96"/>
      <c r="AO579" s="96"/>
      <c r="AP579" s="96"/>
      <c r="AQ579" s="96"/>
      <c r="AR579" s="140"/>
      <c r="AS579" s="140"/>
    </row>
    <row r="580" spans="23:45">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140"/>
      <c r="AS580" s="140"/>
    </row>
    <row r="581" spans="23:45">
      <c r="W581" s="96"/>
      <c r="X581" s="96"/>
      <c r="Y581" s="96"/>
      <c r="Z581" s="96"/>
      <c r="AA581" s="96"/>
      <c r="AB581" s="96"/>
      <c r="AC581" s="96"/>
      <c r="AD581" s="96"/>
      <c r="AE581" s="96"/>
      <c r="AF581" s="96"/>
      <c r="AG581" s="96"/>
      <c r="AH581" s="96"/>
      <c r="AI581" s="96"/>
      <c r="AJ581" s="96"/>
      <c r="AK581" s="96"/>
      <c r="AL581" s="96"/>
      <c r="AM581" s="96"/>
      <c r="AN581" s="96"/>
      <c r="AO581" s="96"/>
      <c r="AP581" s="96"/>
      <c r="AQ581" s="96"/>
      <c r="AR581" s="140"/>
      <c r="AS581" s="140"/>
    </row>
    <row r="582" spans="23:45">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140"/>
      <c r="AS582" s="140"/>
    </row>
    <row r="583" spans="23:45">
      <c r="W583" s="96"/>
      <c r="X583" s="96"/>
      <c r="Y583" s="96"/>
      <c r="Z583" s="96"/>
      <c r="AA583" s="96"/>
      <c r="AB583" s="96"/>
      <c r="AC583" s="96"/>
      <c r="AD583" s="96"/>
      <c r="AE583" s="96"/>
      <c r="AF583" s="96"/>
      <c r="AG583" s="96"/>
      <c r="AH583" s="96"/>
      <c r="AI583" s="96"/>
      <c r="AJ583" s="96"/>
      <c r="AK583" s="96"/>
      <c r="AL583" s="96"/>
      <c r="AM583" s="96"/>
      <c r="AN583" s="96"/>
      <c r="AO583" s="96"/>
      <c r="AP583" s="96"/>
      <c r="AQ583" s="96"/>
      <c r="AR583" s="140"/>
      <c r="AS583" s="140"/>
    </row>
    <row r="584" spans="23:45">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140"/>
      <c r="AS584" s="140"/>
    </row>
    <row r="585" spans="23:45">
      <c r="W585" s="96"/>
      <c r="X585" s="96"/>
      <c r="Y585" s="96"/>
      <c r="Z585" s="96"/>
      <c r="AA585" s="96"/>
      <c r="AB585" s="96"/>
      <c r="AC585" s="96"/>
      <c r="AD585" s="96"/>
      <c r="AE585" s="96"/>
      <c r="AF585" s="96"/>
      <c r="AG585" s="96"/>
      <c r="AH585" s="96"/>
      <c r="AI585" s="96"/>
      <c r="AJ585" s="96"/>
      <c r="AK585" s="96"/>
      <c r="AL585" s="96"/>
      <c r="AM585" s="96"/>
      <c r="AN585" s="96"/>
      <c r="AO585" s="96"/>
      <c r="AP585" s="96"/>
      <c r="AQ585" s="96"/>
      <c r="AR585" s="140"/>
      <c r="AS585" s="140"/>
    </row>
    <row r="586" spans="23:45">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140"/>
      <c r="AS586" s="140"/>
    </row>
    <row r="587" spans="23:45">
      <c r="W587" s="96"/>
      <c r="X587" s="96"/>
      <c r="Y587" s="96"/>
      <c r="Z587" s="96"/>
      <c r="AA587" s="96"/>
      <c r="AB587" s="96"/>
      <c r="AC587" s="96"/>
      <c r="AD587" s="96"/>
      <c r="AE587" s="96"/>
      <c r="AF587" s="96"/>
      <c r="AG587" s="96"/>
      <c r="AH587" s="96"/>
      <c r="AI587" s="96"/>
      <c r="AJ587" s="96"/>
      <c r="AK587" s="96"/>
      <c r="AL587" s="96"/>
      <c r="AM587" s="96"/>
      <c r="AN587" s="96"/>
      <c r="AO587" s="96"/>
      <c r="AP587" s="96"/>
      <c r="AQ587" s="96"/>
      <c r="AR587" s="140"/>
      <c r="AS587" s="140"/>
    </row>
    <row r="588" spans="23:45">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140"/>
      <c r="AS588" s="140"/>
    </row>
    <row r="589" spans="23:45">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140"/>
      <c r="AS589" s="140"/>
    </row>
    <row r="590" spans="23:45">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140"/>
      <c r="AS590" s="140"/>
    </row>
    <row r="591" spans="23:45">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140"/>
      <c r="AS591" s="140"/>
    </row>
    <row r="592" spans="23:45">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140"/>
      <c r="AS592" s="140"/>
    </row>
    <row r="593" spans="23:45">
      <c r="W593" s="96"/>
      <c r="X593" s="96"/>
      <c r="Y593" s="96"/>
      <c r="Z593" s="96"/>
      <c r="AA593" s="96"/>
      <c r="AB593" s="96"/>
      <c r="AC593" s="96"/>
      <c r="AD593" s="96"/>
      <c r="AE593" s="96"/>
      <c r="AF593" s="96"/>
      <c r="AG593" s="96"/>
      <c r="AH593" s="96"/>
      <c r="AI593" s="96"/>
      <c r="AJ593" s="96"/>
      <c r="AK593" s="96"/>
      <c r="AL593" s="96"/>
      <c r="AM593" s="96"/>
      <c r="AN593" s="96"/>
      <c r="AO593" s="96"/>
      <c r="AP593" s="96"/>
      <c r="AQ593" s="96"/>
      <c r="AR593" s="140"/>
      <c r="AS593" s="140"/>
    </row>
    <row r="594" spans="23:45">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140"/>
      <c r="AS594" s="140"/>
    </row>
    <row r="595" spans="23:45">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140"/>
      <c r="AS595" s="140"/>
    </row>
    <row r="596" spans="23:45">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140"/>
      <c r="AS596" s="140"/>
    </row>
    <row r="597" spans="23:45">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140"/>
      <c r="AS597" s="140"/>
    </row>
    <row r="598" spans="23:45">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140"/>
      <c r="AS598" s="140"/>
    </row>
    <row r="599" spans="23:45">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140"/>
      <c r="AS599" s="140"/>
    </row>
    <row r="600" spans="23:45">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140"/>
      <c r="AS600" s="140"/>
    </row>
    <row r="601" spans="23:45">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140"/>
      <c r="AS601" s="140"/>
    </row>
    <row r="602" spans="23:45">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140"/>
      <c r="AS602" s="140"/>
    </row>
    <row r="603" spans="23:45">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140"/>
      <c r="AS603" s="140"/>
    </row>
    <row r="604" spans="23:45">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140"/>
      <c r="AS604" s="140"/>
    </row>
    <row r="605" spans="23:45">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140"/>
      <c r="AS605" s="140"/>
    </row>
    <row r="606" spans="23:45">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140"/>
      <c r="AS606" s="140"/>
    </row>
    <row r="607" spans="23:45">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140"/>
      <c r="AS607" s="140"/>
    </row>
    <row r="608" spans="23:45">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140"/>
      <c r="AS608" s="140"/>
    </row>
    <row r="609" spans="23:45">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140"/>
      <c r="AS609" s="140"/>
    </row>
    <row r="610" spans="23:45">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140"/>
      <c r="AS610" s="140"/>
    </row>
    <row r="611" spans="23:45">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140"/>
      <c r="AS611" s="140"/>
    </row>
    <row r="612" spans="23:45">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140"/>
      <c r="AS612" s="140"/>
    </row>
    <row r="613" spans="23:45">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140"/>
      <c r="AS613" s="140"/>
    </row>
    <row r="614" spans="23:45">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140"/>
      <c r="AS614" s="140"/>
    </row>
    <row r="615" spans="23:45">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140"/>
      <c r="AS615" s="140"/>
    </row>
    <row r="616" spans="23:45">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140"/>
      <c r="AS616" s="140"/>
    </row>
    <row r="617" spans="23:45">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140"/>
      <c r="AS617" s="140"/>
    </row>
    <row r="618" spans="23:45">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140"/>
      <c r="AS618" s="140"/>
    </row>
    <row r="619" spans="23:45">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140"/>
      <c r="AS619" s="140"/>
    </row>
    <row r="620" spans="23:45">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140"/>
      <c r="AS620" s="140"/>
    </row>
    <row r="621" spans="23:45">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140"/>
      <c r="AS621" s="140"/>
    </row>
    <row r="622" spans="23:45">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140"/>
      <c r="AS622" s="140"/>
    </row>
    <row r="623" spans="23:45">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140"/>
      <c r="AS623" s="140"/>
    </row>
    <row r="624" spans="23:45">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140"/>
      <c r="AS624" s="140"/>
    </row>
    <row r="625" spans="23:45">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140"/>
      <c r="AS625" s="140"/>
    </row>
    <row r="626" spans="23:45">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140"/>
      <c r="AS626" s="140"/>
    </row>
    <row r="627" spans="23:45">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140"/>
      <c r="AS627" s="140"/>
    </row>
    <row r="628" spans="23:45">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140"/>
      <c r="AS628" s="140"/>
    </row>
    <row r="629" spans="23:45">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140"/>
      <c r="AS629" s="140"/>
    </row>
    <row r="630" spans="23:45">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140"/>
      <c r="AS630" s="140"/>
    </row>
    <row r="631" spans="23:45">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140"/>
      <c r="AS631" s="140"/>
    </row>
    <row r="632" spans="23:45">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140"/>
      <c r="AS632" s="140"/>
    </row>
    <row r="633" spans="23:45">
      <c r="W633" s="96"/>
      <c r="X633" s="96"/>
      <c r="Y633" s="96"/>
      <c r="Z633" s="96"/>
      <c r="AA633" s="96"/>
      <c r="AB633" s="96"/>
      <c r="AC633" s="96"/>
      <c r="AD633" s="96"/>
      <c r="AE633" s="96"/>
      <c r="AF633" s="96"/>
      <c r="AG633" s="96"/>
      <c r="AH633" s="96"/>
      <c r="AI633" s="96"/>
      <c r="AJ633" s="96"/>
      <c r="AK633" s="96"/>
      <c r="AL633" s="96"/>
      <c r="AM633" s="96"/>
      <c r="AN633" s="96"/>
      <c r="AO633" s="96"/>
      <c r="AP633" s="96"/>
      <c r="AQ633" s="96"/>
      <c r="AR633" s="140"/>
      <c r="AS633" s="140"/>
    </row>
    <row r="634" spans="23:45">
      <c r="W634" s="96"/>
      <c r="X634" s="96"/>
      <c r="Y634" s="96"/>
      <c r="Z634" s="96"/>
      <c r="AA634" s="96"/>
      <c r="AB634" s="96"/>
      <c r="AC634" s="96"/>
      <c r="AD634" s="96"/>
      <c r="AE634" s="96"/>
      <c r="AF634" s="96"/>
      <c r="AG634" s="96"/>
      <c r="AH634" s="96"/>
      <c r="AI634" s="96"/>
      <c r="AJ634" s="96"/>
      <c r="AK634" s="96"/>
      <c r="AL634" s="96"/>
      <c r="AM634" s="96"/>
      <c r="AN634" s="96"/>
      <c r="AO634" s="96"/>
      <c r="AP634" s="96"/>
      <c r="AQ634" s="96"/>
      <c r="AR634" s="140"/>
      <c r="AS634" s="140"/>
    </row>
    <row r="635" spans="23:45">
      <c r="W635" s="96"/>
      <c r="X635" s="96"/>
      <c r="Y635" s="96"/>
      <c r="Z635" s="96"/>
      <c r="AA635" s="96"/>
      <c r="AB635" s="96"/>
      <c r="AC635" s="96"/>
      <c r="AD635" s="96"/>
      <c r="AE635" s="96"/>
      <c r="AF635" s="96"/>
      <c r="AG635" s="96"/>
      <c r="AH635" s="96"/>
      <c r="AI635" s="96"/>
      <c r="AJ635" s="96"/>
      <c r="AK635" s="96"/>
      <c r="AL635" s="96"/>
      <c r="AM635" s="96"/>
      <c r="AN635" s="96"/>
      <c r="AO635" s="96"/>
      <c r="AP635" s="96"/>
      <c r="AQ635" s="96"/>
      <c r="AR635" s="140"/>
      <c r="AS635" s="140"/>
    </row>
    <row r="636" spans="23:45">
      <c r="W636" s="96"/>
      <c r="X636" s="96"/>
      <c r="Y636" s="96"/>
      <c r="Z636" s="96"/>
      <c r="AA636" s="96"/>
      <c r="AB636" s="96"/>
      <c r="AC636" s="96"/>
      <c r="AD636" s="96"/>
      <c r="AE636" s="96"/>
      <c r="AF636" s="96"/>
      <c r="AG636" s="96"/>
      <c r="AH636" s="96"/>
      <c r="AI636" s="96"/>
      <c r="AJ636" s="96"/>
      <c r="AK636" s="96"/>
      <c r="AL636" s="96"/>
      <c r="AM636" s="96"/>
      <c r="AN636" s="96"/>
      <c r="AO636" s="96"/>
      <c r="AP636" s="96"/>
      <c r="AQ636" s="96"/>
      <c r="AR636" s="140"/>
      <c r="AS636" s="140"/>
    </row>
    <row r="637" spans="23:45">
      <c r="W637" s="96"/>
      <c r="X637" s="96"/>
      <c r="Y637" s="96"/>
      <c r="Z637" s="96"/>
      <c r="AA637" s="96"/>
      <c r="AB637" s="96"/>
      <c r="AC637" s="96"/>
      <c r="AD637" s="96"/>
      <c r="AE637" s="96"/>
      <c r="AF637" s="96"/>
      <c r="AG637" s="96"/>
      <c r="AH637" s="96"/>
      <c r="AI637" s="96"/>
      <c r="AJ637" s="96"/>
      <c r="AK637" s="96"/>
      <c r="AL637" s="96"/>
      <c r="AM637" s="96"/>
      <c r="AN637" s="96"/>
      <c r="AO637" s="96"/>
      <c r="AP637" s="96"/>
      <c r="AQ637" s="96"/>
      <c r="AR637" s="140"/>
      <c r="AS637" s="140"/>
    </row>
    <row r="638" spans="23:45">
      <c r="W638" s="96"/>
      <c r="X638" s="96"/>
      <c r="Y638" s="96"/>
      <c r="Z638" s="96"/>
      <c r="AA638" s="96"/>
      <c r="AB638" s="96"/>
      <c r="AC638" s="96"/>
      <c r="AD638" s="96"/>
      <c r="AE638" s="96"/>
      <c r="AF638" s="96"/>
      <c r="AG638" s="96"/>
      <c r="AH638" s="96"/>
      <c r="AI638" s="96"/>
      <c r="AJ638" s="96"/>
      <c r="AK638" s="96"/>
      <c r="AL638" s="96"/>
      <c r="AM638" s="96"/>
      <c r="AN638" s="96"/>
      <c r="AO638" s="96"/>
      <c r="AP638" s="96"/>
      <c r="AQ638" s="96"/>
      <c r="AR638" s="140"/>
      <c r="AS638" s="140"/>
    </row>
    <row r="639" spans="23:45">
      <c r="W639" s="96"/>
      <c r="X639" s="96"/>
      <c r="Y639" s="96"/>
      <c r="Z639" s="96"/>
      <c r="AA639" s="96"/>
      <c r="AB639" s="96"/>
      <c r="AC639" s="96"/>
      <c r="AD639" s="96"/>
      <c r="AE639" s="96"/>
      <c r="AF639" s="96"/>
      <c r="AG639" s="96"/>
      <c r="AH639" s="96"/>
      <c r="AI639" s="96"/>
      <c r="AJ639" s="96"/>
      <c r="AK639" s="96"/>
      <c r="AL639" s="96"/>
      <c r="AM639" s="96"/>
      <c r="AN639" s="96"/>
      <c r="AO639" s="96"/>
      <c r="AP639" s="96"/>
      <c r="AQ639" s="96"/>
      <c r="AR639" s="140"/>
      <c r="AS639" s="140"/>
    </row>
    <row r="640" spans="23:45">
      <c r="W640" s="96"/>
      <c r="X640" s="96"/>
      <c r="Y640" s="96"/>
      <c r="Z640" s="96"/>
      <c r="AA640" s="96"/>
      <c r="AB640" s="96"/>
      <c r="AC640" s="96"/>
      <c r="AD640" s="96"/>
      <c r="AE640" s="96"/>
      <c r="AF640" s="96"/>
      <c r="AG640" s="96"/>
      <c r="AH640" s="96"/>
      <c r="AI640" s="96"/>
      <c r="AJ640" s="96"/>
      <c r="AK640" s="96"/>
      <c r="AL640" s="96"/>
      <c r="AM640" s="96"/>
      <c r="AN640" s="96"/>
      <c r="AO640" s="96"/>
      <c r="AP640" s="96"/>
      <c r="AQ640" s="96"/>
      <c r="AR640" s="140"/>
      <c r="AS640" s="140"/>
    </row>
    <row r="641" spans="23:45">
      <c r="W641" s="96"/>
      <c r="X641" s="96"/>
      <c r="Y641" s="96"/>
      <c r="Z641" s="96"/>
      <c r="AA641" s="96"/>
      <c r="AB641" s="96"/>
      <c r="AC641" s="96"/>
      <c r="AD641" s="96"/>
      <c r="AE641" s="96"/>
      <c r="AF641" s="96"/>
      <c r="AG641" s="96"/>
      <c r="AH641" s="96"/>
      <c r="AI641" s="96"/>
      <c r="AJ641" s="96"/>
      <c r="AK641" s="96"/>
      <c r="AL641" s="96"/>
      <c r="AM641" s="96"/>
      <c r="AN641" s="96"/>
      <c r="AO641" s="96"/>
      <c r="AP641" s="96"/>
      <c r="AQ641" s="96"/>
      <c r="AR641" s="140"/>
      <c r="AS641" s="140"/>
    </row>
    <row r="642" spans="23:45">
      <c r="W642" s="96"/>
      <c r="X642" s="96"/>
      <c r="Y642" s="96"/>
      <c r="Z642" s="96"/>
      <c r="AA642" s="96"/>
      <c r="AB642" s="96"/>
      <c r="AC642" s="96"/>
      <c r="AD642" s="96"/>
      <c r="AE642" s="96"/>
      <c r="AF642" s="96"/>
      <c r="AG642" s="96"/>
      <c r="AH642" s="96"/>
      <c r="AI642" s="96"/>
      <c r="AJ642" s="96"/>
      <c r="AK642" s="96"/>
      <c r="AL642" s="96"/>
      <c r="AM642" s="96"/>
      <c r="AN642" s="96"/>
      <c r="AO642" s="96"/>
      <c r="AP642" s="96"/>
      <c r="AQ642" s="96"/>
      <c r="AR642" s="140"/>
      <c r="AS642" s="140"/>
    </row>
    <row r="643" spans="23:45">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140"/>
      <c r="AS643" s="140"/>
    </row>
    <row r="644" spans="23:45">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140"/>
      <c r="AS644" s="140"/>
    </row>
    <row r="645" spans="23:45">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140"/>
      <c r="AS645" s="140"/>
    </row>
    <row r="646" spans="23:45">
      <c r="W646" s="96"/>
      <c r="X646" s="96"/>
      <c r="Y646" s="96"/>
      <c r="Z646" s="96"/>
      <c r="AA646" s="96"/>
      <c r="AB646" s="96"/>
      <c r="AC646" s="96"/>
      <c r="AD646" s="96"/>
      <c r="AE646" s="96"/>
      <c r="AF646" s="96"/>
      <c r="AG646" s="96"/>
      <c r="AH646" s="96"/>
      <c r="AI646" s="96"/>
      <c r="AJ646" s="96"/>
      <c r="AK646" s="96"/>
      <c r="AL646" s="96"/>
      <c r="AM646" s="96"/>
      <c r="AN646" s="96"/>
      <c r="AO646" s="96"/>
      <c r="AP646" s="96"/>
      <c r="AQ646" s="96"/>
      <c r="AR646" s="140"/>
      <c r="AS646" s="140"/>
    </row>
    <row r="647" spans="23:45">
      <c r="W647" s="96"/>
      <c r="X647" s="96"/>
      <c r="Y647" s="96"/>
      <c r="Z647" s="96"/>
      <c r="AA647" s="96"/>
      <c r="AB647" s="96"/>
      <c r="AC647" s="96"/>
      <c r="AD647" s="96"/>
      <c r="AE647" s="96"/>
      <c r="AF647" s="96"/>
      <c r="AG647" s="96"/>
      <c r="AH647" s="96"/>
      <c r="AI647" s="96"/>
      <c r="AJ647" s="96"/>
      <c r="AK647" s="96"/>
      <c r="AL647" s="96"/>
      <c r="AM647" s="96"/>
      <c r="AN647" s="96"/>
      <c r="AO647" s="96"/>
      <c r="AP647" s="96"/>
      <c r="AQ647" s="96"/>
      <c r="AR647" s="140"/>
      <c r="AS647" s="140"/>
    </row>
    <row r="648" spans="23:45">
      <c r="W648" s="96"/>
      <c r="X648" s="96"/>
      <c r="Y648" s="96"/>
      <c r="Z648" s="96"/>
      <c r="AA648" s="96"/>
      <c r="AB648" s="96"/>
      <c r="AC648" s="96"/>
      <c r="AD648" s="96"/>
      <c r="AE648" s="96"/>
      <c r="AF648" s="96"/>
      <c r="AG648" s="96"/>
      <c r="AH648" s="96"/>
      <c r="AI648" s="96"/>
      <c r="AJ648" s="96"/>
      <c r="AK648" s="96"/>
      <c r="AL648" s="96"/>
      <c r="AM648" s="96"/>
      <c r="AN648" s="96"/>
      <c r="AO648" s="96"/>
      <c r="AP648" s="96"/>
      <c r="AQ648" s="96"/>
      <c r="AR648" s="140"/>
      <c r="AS648" s="140"/>
    </row>
    <row r="649" spans="23:45">
      <c r="W649" s="96"/>
      <c r="X649" s="96"/>
      <c r="Y649" s="96"/>
      <c r="Z649" s="96"/>
      <c r="AA649" s="96"/>
      <c r="AB649" s="96"/>
      <c r="AC649" s="96"/>
      <c r="AD649" s="96"/>
      <c r="AE649" s="96"/>
      <c r="AF649" s="96"/>
      <c r="AG649" s="96"/>
      <c r="AH649" s="96"/>
      <c r="AI649" s="96"/>
      <c r="AJ649" s="96"/>
      <c r="AK649" s="96"/>
      <c r="AL649" s="96"/>
      <c r="AM649" s="96"/>
      <c r="AN649" s="96"/>
      <c r="AO649" s="96"/>
      <c r="AP649" s="96"/>
      <c r="AQ649" s="96"/>
      <c r="AR649" s="140"/>
      <c r="AS649" s="140"/>
    </row>
    <row r="650" spans="23:45">
      <c r="W650" s="96"/>
      <c r="X650" s="96"/>
      <c r="Y650" s="96"/>
      <c r="Z650" s="96"/>
      <c r="AA650" s="96"/>
      <c r="AB650" s="96"/>
      <c r="AC650" s="96"/>
      <c r="AD650" s="96"/>
      <c r="AE650" s="96"/>
      <c r="AF650" s="96"/>
      <c r="AG650" s="96"/>
      <c r="AH650" s="96"/>
      <c r="AI650" s="96"/>
      <c r="AJ650" s="96"/>
      <c r="AK650" s="96"/>
      <c r="AL650" s="96"/>
      <c r="AM650" s="96"/>
      <c r="AN650" s="96"/>
      <c r="AO650" s="96"/>
      <c r="AP650" s="96"/>
      <c r="AQ650" s="96"/>
      <c r="AR650" s="140"/>
      <c r="AS650" s="140"/>
    </row>
    <row r="651" spans="23:45">
      <c r="W651" s="96"/>
      <c r="X651" s="96"/>
      <c r="Y651" s="96"/>
      <c r="Z651" s="96"/>
      <c r="AA651" s="96"/>
      <c r="AB651" s="96"/>
      <c r="AC651" s="96"/>
      <c r="AD651" s="96"/>
      <c r="AE651" s="96"/>
      <c r="AF651" s="96"/>
      <c r="AG651" s="96"/>
      <c r="AH651" s="96"/>
      <c r="AI651" s="96"/>
      <c r="AJ651" s="96"/>
      <c r="AK651" s="96"/>
      <c r="AL651" s="96"/>
      <c r="AM651" s="96"/>
      <c r="AN651" s="96"/>
      <c r="AO651" s="96"/>
      <c r="AP651" s="96"/>
      <c r="AQ651" s="96"/>
      <c r="AR651" s="140"/>
      <c r="AS651" s="140"/>
    </row>
    <row r="652" spans="23:45">
      <c r="W652" s="96"/>
      <c r="X652" s="96"/>
      <c r="Y652" s="96"/>
      <c r="Z652" s="96"/>
      <c r="AA652" s="96"/>
      <c r="AB652" s="96"/>
      <c r="AC652" s="96"/>
      <c r="AD652" s="96"/>
      <c r="AE652" s="96"/>
      <c r="AF652" s="96"/>
      <c r="AG652" s="96"/>
      <c r="AH652" s="96"/>
      <c r="AI652" s="96"/>
      <c r="AJ652" s="96"/>
      <c r="AK652" s="96"/>
      <c r="AL652" s="96"/>
      <c r="AM652" s="96"/>
      <c r="AN652" s="96"/>
      <c r="AO652" s="96"/>
      <c r="AP652" s="96"/>
      <c r="AQ652" s="96"/>
      <c r="AR652" s="140"/>
      <c r="AS652" s="140"/>
    </row>
    <row r="653" spans="23:45">
      <c r="W653" s="96"/>
      <c r="X653" s="96"/>
      <c r="Y653" s="96"/>
      <c r="Z653" s="96"/>
      <c r="AA653" s="96"/>
      <c r="AB653" s="96"/>
      <c r="AC653" s="96"/>
      <c r="AD653" s="96"/>
      <c r="AE653" s="96"/>
      <c r="AF653" s="96"/>
      <c r="AG653" s="96"/>
      <c r="AH653" s="96"/>
      <c r="AI653" s="96"/>
      <c r="AJ653" s="96"/>
      <c r="AK653" s="96"/>
      <c r="AL653" s="96"/>
      <c r="AM653" s="96"/>
      <c r="AN653" s="96"/>
      <c r="AO653" s="96"/>
      <c r="AP653" s="96"/>
      <c r="AQ653" s="96"/>
      <c r="AR653" s="140"/>
      <c r="AS653" s="140"/>
    </row>
    <row r="654" spans="23:45">
      <c r="W654" s="96"/>
      <c r="X654" s="96"/>
      <c r="Y654" s="96"/>
      <c r="Z654" s="96"/>
      <c r="AA654" s="96"/>
      <c r="AB654" s="96"/>
      <c r="AC654" s="96"/>
      <c r="AD654" s="96"/>
      <c r="AE654" s="96"/>
      <c r="AF654" s="96"/>
      <c r="AG654" s="96"/>
      <c r="AH654" s="96"/>
      <c r="AI654" s="96"/>
      <c r="AJ654" s="96"/>
      <c r="AK654" s="96"/>
      <c r="AL654" s="96"/>
      <c r="AM654" s="96"/>
      <c r="AN654" s="96"/>
      <c r="AO654" s="96"/>
      <c r="AP654" s="96"/>
      <c r="AQ654" s="96"/>
      <c r="AR654" s="140"/>
      <c r="AS654" s="140"/>
    </row>
    <row r="655" spans="23:45">
      <c r="W655" s="96"/>
      <c r="X655" s="96"/>
      <c r="Y655" s="96"/>
      <c r="Z655" s="96"/>
      <c r="AA655" s="96"/>
      <c r="AB655" s="96"/>
      <c r="AC655" s="96"/>
      <c r="AD655" s="96"/>
      <c r="AE655" s="96"/>
      <c r="AF655" s="96"/>
      <c r="AG655" s="96"/>
      <c r="AH655" s="96"/>
      <c r="AI655" s="96"/>
      <c r="AJ655" s="96"/>
      <c r="AK655" s="96"/>
      <c r="AL655" s="96"/>
      <c r="AM655" s="96"/>
      <c r="AN655" s="96"/>
      <c r="AO655" s="96"/>
      <c r="AP655" s="96"/>
      <c r="AQ655" s="96"/>
      <c r="AR655" s="140"/>
      <c r="AS655" s="140"/>
    </row>
    <row r="656" spans="23:45">
      <c r="W656" s="96"/>
      <c r="X656" s="96"/>
      <c r="Y656" s="96"/>
      <c r="Z656" s="96"/>
      <c r="AA656" s="96"/>
      <c r="AB656" s="96"/>
      <c r="AC656" s="96"/>
      <c r="AD656" s="96"/>
      <c r="AE656" s="96"/>
      <c r="AF656" s="96"/>
      <c r="AG656" s="96"/>
      <c r="AH656" s="96"/>
      <c r="AI656" s="96"/>
      <c r="AJ656" s="96"/>
      <c r="AK656" s="96"/>
      <c r="AL656" s="96"/>
      <c r="AM656" s="96"/>
      <c r="AN656" s="96"/>
      <c r="AO656" s="96"/>
      <c r="AP656" s="96"/>
      <c r="AQ656" s="96"/>
      <c r="AR656" s="140"/>
      <c r="AS656" s="140"/>
    </row>
    <row r="657" spans="23:45">
      <c r="W657" s="96"/>
      <c r="X657" s="96"/>
      <c r="Y657" s="96"/>
      <c r="Z657" s="96"/>
      <c r="AA657" s="96"/>
      <c r="AB657" s="96"/>
      <c r="AC657" s="96"/>
      <c r="AD657" s="96"/>
      <c r="AE657" s="96"/>
      <c r="AF657" s="96"/>
      <c r="AG657" s="96"/>
      <c r="AH657" s="96"/>
      <c r="AI657" s="96"/>
      <c r="AJ657" s="96"/>
      <c r="AK657" s="96"/>
      <c r="AL657" s="96"/>
      <c r="AM657" s="96"/>
      <c r="AN657" s="96"/>
      <c r="AO657" s="96"/>
      <c r="AP657" s="96"/>
      <c r="AQ657" s="96"/>
      <c r="AR657" s="140"/>
      <c r="AS657" s="140"/>
    </row>
    <row r="658" spans="23:45">
      <c r="W658" s="96"/>
      <c r="X658" s="96"/>
      <c r="Y658" s="96"/>
      <c r="Z658" s="96"/>
      <c r="AA658" s="96"/>
      <c r="AB658" s="96"/>
      <c r="AC658" s="96"/>
      <c r="AD658" s="96"/>
      <c r="AE658" s="96"/>
      <c r="AF658" s="96"/>
      <c r="AG658" s="96"/>
      <c r="AH658" s="96"/>
      <c r="AI658" s="96"/>
      <c r="AJ658" s="96"/>
      <c r="AK658" s="96"/>
      <c r="AL658" s="96"/>
      <c r="AM658" s="96"/>
      <c r="AN658" s="96"/>
      <c r="AO658" s="96"/>
      <c r="AP658" s="96"/>
      <c r="AQ658" s="96"/>
      <c r="AR658" s="140"/>
      <c r="AS658" s="140"/>
    </row>
    <row r="659" spans="23:45">
      <c r="W659" s="96"/>
      <c r="X659" s="96"/>
      <c r="Y659" s="96"/>
      <c r="Z659" s="96"/>
      <c r="AA659" s="96"/>
      <c r="AB659" s="96"/>
      <c r="AC659" s="96"/>
      <c r="AD659" s="96"/>
      <c r="AE659" s="96"/>
      <c r="AF659" s="96"/>
      <c r="AG659" s="96"/>
      <c r="AH659" s="96"/>
      <c r="AI659" s="96"/>
      <c r="AJ659" s="96"/>
      <c r="AK659" s="96"/>
      <c r="AL659" s="96"/>
      <c r="AM659" s="96"/>
      <c r="AN659" s="96"/>
      <c r="AO659" s="96"/>
      <c r="AP659" s="96"/>
      <c r="AQ659" s="96"/>
      <c r="AR659" s="140"/>
      <c r="AS659" s="140"/>
    </row>
    <row r="660" spans="23:45">
      <c r="W660" s="96"/>
      <c r="X660" s="96"/>
      <c r="Y660" s="96"/>
      <c r="Z660" s="96"/>
      <c r="AA660" s="96"/>
      <c r="AB660" s="96"/>
      <c r="AC660" s="96"/>
      <c r="AD660" s="96"/>
      <c r="AE660" s="96"/>
      <c r="AF660" s="96"/>
      <c r="AG660" s="96"/>
      <c r="AH660" s="96"/>
      <c r="AI660" s="96"/>
      <c r="AJ660" s="96"/>
      <c r="AK660" s="96"/>
      <c r="AL660" s="96"/>
      <c r="AM660" s="96"/>
      <c r="AN660" s="96"/>
      <c r="AO660" s="96"/>
      <c r="AP660" s="96"/>
      <c r="AQ660" s="96"/>
      <c r="AR660" s="140"/>
      <c r="AS660" s="140"/>
    </row>
    <row r="661" spans="23:45">
      <c r="W661" s="96"/>
      <c r="X661" s="96"/>
      <c r="Y661" s="96"/>
      <c r="Z661" s="96"/>
      <c r="AA661" s="96"/>
      <c r="AB661" s="96"/>
      <c r="AC661" s="96"/>
      <c r="AD661" s="96"/>
      <c r="AE661" s="96"/>
      <c r="AF661" s="96"/>
      <c r="AG661" s="96"/>
      <c r="AH661" s="96"/>
      <c r="AI661" s="96"/>
      <c r="AJ661" s="96"/>
      <c r="AK661" s="96"/>
      <c r="AL661" s="96"/>
      <c r="AM661" s="96"/>
      <c r="AN661" s="96"/>
      <c r="AO661" s="96"/>
      <c r="AP661" s="96"/>
      <c r="AQ661" s="96"/>
      <c r="AR661" s="140"/>
      <c r="AS661" s="140"/>
    </row>
    <row r="662" spans="23:45">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140"/>
      <c r="AS662" s="140"/>
    </row>
    <row r="663" spans="23:45">
      <c r="W663" s="96"/>
      <c r="X663" s="96"/>
      <c r="Y663" s="96"/>
      <c r="Z663" s="96"/>
      <c r="AA663" s="96"/>
      <c r="AB663" s="96"/>
      <c r="AC663" s="96"/>
      <c r="AD663" s="96"/>
      <c r="AE663" s="96"/>
      <c r="AF663" s="96"/>
      <c r="AG663" s="96"/>
      <c r="AH663" s="96"/>
      <c r="AI663" s="96"/>
      <c r="AJ663" s="96"/>
      <c r="AK663" s="96"/>
      <c r="AL663" s="96"/>
      <c r="AM663" s="96"/>
      <c r="AN663" s="96"/>
      <c r="AO663" s="96"/>
      <c r="AP663" s="96"/>
      <c r="AQ663" s="96"/>
      <c r="AR663" s="140"/>
      <c r="AS663" s="140"/>
    </row>
    <row r="664" spans="23:45">
      <c r="W664" s="96"/>
      <c r="X664" s="96"/>
      <c r="Y664" s="96"/>
      <c r="Z664" s="96"/>
      <c r="AA664" s="96"/>
      <c r="AB664" s="96"/>
      <c r="AC664" s="96"/>
      <c r="AD664" s="96"/>
      <c r="AE664" s="96"/>
      <c r="AF664" s="96"/>
      <c r="AG664" s="96"/>
      <c r="AH664" s="96"/>
      <c r="AI664" s="96"/>
      <c r="AJ664" s="96"/>
      <c r="AK664" s="96"/>
      <c r="AL664" s="96"/>
      <c r="AM664" s="96"/>
      <c r="AN664" s="96"/>
      <c r="AO664" s="96"/>
      <c r="AP664" s="96"/>
      <c r="AQ664" s="96"/>
      <c r="AR664" s="140"/>
      <c r="AS664" s="140"/>
    </row>
    <row r="665" spans="23:45">
      <c r="W665" s="96"/>
      <c r="X665" s="96"/>
      <c r="Y665" s="96"/>
      <c r="Z665" s="96"/>
      <c r="AA665" s="96"/>
      <c r="AB665" s="96"/>
      <c r="AC665" s="96"/>
      <c r="AD665" s="96"/>
      <c r="AE665" s="96"/>
      <c r="AF665" s="96"/>
      <c r="AG665" s="96"/>
      <c r="AH665" s="96"/>
      <c r="AI665" s="96"/>
      <c r="AJ665" s="96"/>
      <c r="AK665" s="96"/>
      <c r="AL665" s="96"/>
      <c r="AM665" s="96"/>
      <c r="AN665" s="96"/>
      <c r="AO665" s="96"/>
      <c r="AP665" s="96"/>
      <c r="AQ665" s="96"/>
      <c r="AR665" s="140"/>
      <c r="AS665" s="140"/>
    </row>
    <row r="666" spans="23:45">
      <c r="W666" s="96"/>
      <c r="X666" s="96"/>
      <c r="Y666" s="96"/>
      <c r="Z666" s="96"/>
      <c r="AA666" s="96"/>
      <c r="AB666" s="96"/>
      <c r="AC666" s="96"/>
      <c r="AD666" s="96"/>
      <c r="AE666" s="96"/>
      <c r="AF666" s="96"/>
      <c r="AG666" s="96"/>
      <c r="AH666" s="96"/>
      <c r="AI666" s="96"/>
      <c r="AJ666" s="96"/>
      <c r="AK666" s="96"/>
      <c r="AL666" s="96"/>
      <c r="AM666" s="96"/>
      <c r="AN666" s="96"/>
      <c r="AO666" s="96"/>
      <c r="AP666" s="96"/>
      <c r="AQ666" s="96"/>
      <c r="AR666" s="140"/>
      <c r="AS666" s="140"/>
    </row>
    <row r="667" spans="23:45">
      <c r="W667" s="96"/>
      <c r="X667" s="96"/>
      <c r="Y667" s="96"/>
      <c r="Z667" s="96"/>
      <c r="AA667" s="96"/>
      <c r="AB667" s="96"/>
      <c r="AC667" s="96"/>
      <c r="AD667" s="96"/>
      <c r="AE667" s="96"/>
      <c r="AF667" s="96"/>
      <c r="AG667" s="96"/>
      <c r="AH667" s="96"/>
      <c r="AI667" s="96"/>
      <c r="AJ667" s="96"/>
      <c r="AK667" s="96"/>
      <c r="AL667" s="96"/>
      <c r="AM667" s="96"/>
      <c r="AN667" s="96"/>
      <c r="AO667" s="96"/>
      <c r="AP667" s="96"/>
      <c r="AQ667" s="96"/>
      <c r="AR667" s="140"/>
      <c r="AS667" s="140"/>
    </row>
    <row r="668" spans="23:45">
      <c r="W668" s="96"/>
      <c r="X668" s="96"/>
      <c r="Y668" s="96"/>
      <c r="Z668" s="96"/>
      <c r="AA668" s="96"/>
      <c r="AB668" s="96"/>
      <c r="AC668" s="96"/>
      <c r="AD668" s="96"/>
      <c r="AE668" s="96"/>
      <c r="AF668" s="96"/>
      <c r="AG668" s="96"/>
      <c r="AH668" s="96"/>
      <c r="AI668" s="96"/>
      <c r="AJ668" s="96"/>
      <c r="AK668" s="96"/>
      <c r="AL668" s="96"/>
      <c r="AM668" s="96"/>
      <c r="AN668" s="96"/>
      <c r="AO668" s="96"/>
      <c r="AP668" s="96"/>
      <c r="AQ668" s="96"/>
      <c r="AR668" s="140"/>
      <c r="AS668" s="140"/>
    </row>
    <row r="669" spans="23:45">
      <c r="W669" s="96"/>
      <c r="X669" s="96"/>
      <c r="Y669" s="96"/>
      <c r="Z669" s="96"/>
      <c r="AA669" s="96"/>
      <c r="AB669" s="96"/>
      <c r="AC669" s="96"/>
      <c r="AD669" s="96"/>
      <c r="AE669" s="96"/>
      <c r="AF669" s="96"/>
      <c r="AG669" s="96"/>
      <c r="AH669" s="96"/>
      <c r="AI669" s="96"/>
      <c r="AJ669" s="96"/>
      <c r="AK669" s="96"/>
      <c r="AL669" s="96"/>
      <c r="AM669" s="96"/>
      <c r="AN669" s="96"/>
      <c r="AO669" s="96"/>
      <c r="AP669" s="96"/>
      <c r="AQ669" s="96"/>
      <c r="AR669" s="140"/>
      <c r="AS669" s="140"/>
    </row>
    <row r="670" spans="23:45">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140"/>
      <c r="AS670" s="140"/>
    </row>
    <row r="671" spans="23:45">
      <c r="W671" s="96"/>
      <c r="X671" s="96"/>
      <c r="Y671" s="96"/>
      <c r="Z671" s="96"/>
      <c r="AA671" s="96"/>
      <c r="AB671" s="96"/>
      <c r="AC671" s="96"/>
      <c r="AD671" s="96"/>
      <c r="AE671" s="96"/>
      <c r="AF671" s="96"/>
      <c r="AG671" s="96"/>
      <c r="AH671" s="96"/>
      <c r="AI671" s="96"/>
      <c r="AJ671" s="96"/>
      <c r="AK671" s="96"/>
      <c r="AL671" s="96"/>
      <c r="AM671" s="96"/>
      <c r="AN671" s="96"/>
      <c r="AO671" s="96"/>
      <c r="AP671" s="96"/>
      <c r="AQ671" s="96"/>
      <c r="AR671" s="140"/>
      <c r="AS671" s="140"/>
    </row>
    <row r="672" spans="23:45">
      <c r="W672" s="96"/>
      <c r="X672" s="96"/>
      <c r="Y672" s="96"/>
      <c r="Z672" s="96"/>
      <c r="AA672" s="96"/>
      <c r="AB672" s="96"/>
      <c r="AC672" s="96"/>
      <c r="AD672" s="96"/>
      <c r="AE672" s="96"/>
      <c r="AF672" s="96"/>
      <c r="AG672" s="96"/>
      <c r="AH672" s="96"/>
      <c r="AI672" s="96"/>
      <c r="AJ672" s="96"/>
      <c r="AK672" s="96"/>
      <c r="AL672" s="96"/>
      <c r="AM672" s="96"/>
      <c r="AN672" s="96"/>
      <c r="AO672" s="96"/>
      <c r="AP672" s="96"/>
      <c r="AQ672" s="96"/>
      <c r="AR672" s="140"/>
      <c r="AS672" s="140"/>
    </row>
    <row r="673" spans="23:45">
      <c r="W673" s="96"/>
      <c r="X673" s="96"/>
      <c r="Y673" s="96"/>
      <c r="Z673" s="96"/>
      <c r="AA673" s="96"/>
      <c r="AB673" s="96"/>
      <c r="AC673" s="96"/>
      <c r="AD673" s="96"/>
      <c r="AE673" s="96"/>
      <c r="AF673" s="96"/>
      <c r="AG673" s="96"/>
      <c r="AH673" s="96"/>
      <c r="AI673" s="96"/>
      <c r="AJ673" s="96"/>
      <c r="AK673" s="96"/>
      <c r="AL673" s="96"/>
      <c r="AM673" s="96"/>
      <c r="AN673" s="96"/>
      <c r="AO673" s="96"/>
      <c r="AP673" s="96"/>
      <c r="AQ673" s="96"/>
      <c r="AR673" s="140"/>
      <c r="AS673" s="140"/>
    </row>
    <row r="674" spans="23:45">
      <c r="W674" s="96"/>
      <c r="X674" s="96"/>
      <c r="Y674" s="96"/>
      <c r="Z674" s="96"/>
      <c r="AA674" s="96"/>
      <c r="AB674" s="96"/>
      <c r="AC674" s="96"/>
      <c r="AD674" s="96"/>
      <c r="AE674" s="96"/>
      <c r="AF674" s="96"/>
      <c r="AG674" s="96"/>
      <c r="AH674" s="96"/>
      <c r="AI674" s="96"/>
      <c r="AJ674" s="96"/>
      <c r="AK674" s="96"/>
      <c r="AL674" s="96"/>
      <c r="AM674" s="96"/>
      <c r="AN674" s="96"/>
      <c r="AO674" s="96"/>
      <c r="AP674" s="96"/>
      <c r="AQ674" s="96"/>
      <c r="AR674" s="140"/>
      <c r="AS674" s="140"/>
    </row>
    <row r="675" spans="23:45">
      <c r="W675" s="96"/>
      <c r="X675" s="96"/>
      <c r="Y675" s="96"/>
      <c r="Z675" s="96"/>
      <c r="AA675" s="96"/>
      <c r="AB675" s="96"/>
      <c r="AC675" s="96"/>
      <c r="AD675" s="96"/>
      <c r="AE675" s="96"/>
      <c r="AF675" s="96"/>
      <c r="AG675" s="96"/>
      <c r="AH675" s="96"/>
      <c r="AI675" s="96"/>
      <c r="AJ675" s="96"/>
      <c r="AK675" s="96"/>
      <c r="AL675" s="96"/>
      <c r="AM675" s="96"/>
      <c r="AN675" s="96"/>
      <c r="AO675" s="96"/>
      <c r="AP675" s="96"/>
      <c r="AQ675" s="96"/>
      <c r="AR675" s="140"/>
      <c r="AS675" s="140"/>
    </row>
    <row r="676" spans="23:45">
      <c r="W676" s="96"/>
      <c r="X676" s="96"/>
      <c r="Y676" s="96"/>
      <c r="Z676" s="96"/>
      <c r="AA676" s="96"/>
      <c r="AB676" s="96"/>
      <c r="AC676" s="96"/>
      <c r="AD676" s="96"/>
      <c r="AE676" s="96"/>
      <c r="AF676" s="96"/>
      <c r="AG676" s="96"/>
      <c r="AH676" s="96"/>
      <c r="AI676" s="96"/>
      <c r="AJ676" s="96"/>
      <c r="AK676" s="96"/>
      <c r="AL676" s="96"/>
      <c r="AM676" s="96"/>
      <c r="AN676" s="96"/>
      <c r="AO676" s="96"/>
      <c r="AP676" s="96"/>
      <c r="AQ676" s="96"/>
      <c r="AR676" s="140"/>
      <c r="AS676" s="140"/>
    </row>
    <row r="677" spans="23:45">
      <c r="W677" s="96"/>
      <c r="X677" s="96"/>
      <c r="Y677" s="96"/>
      <c r="Z677" s="96"/>
      <c r="AA677" s="96"/>
      <c r="AB677" s="96"/>
      <c r="AC677" s="96"/>
      <c r="AD677" s="96"/>
      <c r="AE677" s="96"/>
      <c r="AF677" s="96"/>
      <c r="AG677" s="96"/>
      <c r="AH677" s="96"/>
      <c r="AI677" s="96"/>
      <c r="AJ677" s="96"/>
      <c r="AK677" s="96"/>
      <c r="AL677" s="96"/>
      <c r="AM677" s="96"/>
      <c r="AN677" s="96"/>
      <c r="AO677" s="96"/>
      <c r="AP677" s="96"/>
      <c r="AQ677" s="96"/>
      <c r="AR677" s="140"/>
      <c r="AS677" s="140"/>
    </row>
    <row r="678" spans="23:45">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140"/>
      <c r="AS678" s="140"/>
    </row>
    <row r="679" spans="23:45">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140"/>
      <c r="AS679" s="140"/>
    </row>
    <row r="680" spans="23:45">
      <c r="W680" s="96"/>
      <c r="X680" s="96"/>
      <c r="Y680" s="96"/>
      <c r="Z680" s="96"/>
      <c r="AA680" s="96"/>
      <c r="AB680" s="96"/>
      <c r="AC680" s="96"/>
      <c r="AD680" s="96"/>
      <c r="AE680" s="96"/>
      <c r="AF680" s="96"/>
      <c r="AG680" s="96"/>
      <c r="AH680" s="96"/>
      <c r="AI680" s="96"/>
      <c r="AJ680" s="96"/>
      <c r="AK680" s="96"/>
      <c r="AL680" s="96"/>
      <c r="AM680" s="96"/>
      <c r="AN680" s="96"/>
      <c r="AO680" s="96"/>
      <c r="AP680" s="96"/>
      <c r="AQ680" s="96"/>
      <c r="AR680" s="140"/>
      <c r="AS680" s="140"/>
    </row>
    <row r="681" spans="23:45">
      <c r="W681" s="96"/>
      <c r="X681" s="96"/>
      <c r="Y681" s="96"/>
      <c r="Z681" s="96"/>
      <c r="AA681" s="96"/>
      <c r="AB681" s="96"/>
      <c r="AC681" s="96"/>
      <c r="AD681" s="96"/>
      <c r="AE681" s="96"/>
      <c r="AF681" s="96"/>
      <c r="AG681" s="96"/>
      <c r="AH681" s="96"/>
      <c r="AI681" s="96"/>
      <c r="AJ681" s="96"/>
      <c r="AK681" s="96"/>
      <c r="AL681" s="96"/>
      <c r="AM681" s="96"/>
      <c r="AN681" s="96"/>
      <c r="AO681" s="96"/>
      <c r="AP681" s="96"/>
      <c r="AQ681" s="96"/>
      <c r="AR681" s="140"/>
      <c r="AS681" s="140"/>
    </row>
    <row r="682" spans="23:45">
      <c r="W682" s="96"/>
      <c r="X682" s="96"/>
      <c r="Y682" s="96"/>
      <c r="Z682" s="96"/>
      <c r="AA682" s="96"/>
      <c r="AB682" s="96"/>
      <c r="AC682" s="96"/>
      <c r="AD682" s="96"/>
      <c r="AE682" s="96"/>
      <c r="AF682" s="96"/>
      <c r="AG682" s="96"/>
      <c r="AH682" s="96"/>
      <c r="AI682" s="96"/>
      <c r="AJ682" s="96"/>
      <c r="AK682" s="96"/>
      <c r="AL682" s="96"/>
      <c r="AM682" s="96"/>
      <c r="AN682" s="96"/>
      <c r="AO682" s="96"/>
      <c r="AP682" s="96"/>
      <c r="AQ682" s="96"/>
      <c r="AR682" s="140"/>
      <c r="AS682" s="140"/>
    </row>
    <row r="683" spans="23:45">
      <c r="W683" s="96"/>
      <c r="X683" s="96"/>
      <c r="Y683" s="96"/>
      <c r="Z683" s="96"/>
      <c r="AA683" s="96"/>
      <c r="AB683" s="96"/>
      <c r="AC683" s="96"/>
      <c r="AD683" s="96"/>
      <c r="AE683" s="96"/>
      <c r="AF683" s="96"/>
      <c r="AG683" s="96"/>
      <c r="AH683" s="96"/>
      <c r="AI683" s="96"/>
      <c r="AJ683" s="96"/>
      <c r="AK683" s="96"/>
      <c r="AL683" s="96"/>
      <c r="AM683" s="96"/>
      <c r="AN683" s="96"/>
      <c r="AO683" s="96"/>
      <c r="AP683" s="96"/>
      <c r="AQ683" s="96"/>
      <c r="AR683" s="140"/>
      <c r="AS683" s="140"/>
    </row>
    <row r="684" spans="23:45">
      <c r="W684" s="96"/>
      <c r="X684" s="96"/>
      <c r="Y684" s="96"/>
      <c r="Z684" s="96"/>
      <c r="AA684" s="96"/>
      <c r="AB684" s="96"/>
      <c r="AC684" s="96"/>
      <c r="AD684" s="96"/>
      <c r="AE684" s="96"/>
      <c r="AF684" s="96"/>
      <c r="AG684" s="96"/>
      <c r="AH684" s="96"/>
      <c r="AI684" s="96"/>
      <c r="AJ684" s="96"/>
      <c r="AK684" s="96"/>
      <c r="AL684" s="96"/>
      <c r="AM684" s="96"/>
      <c r="AN684" s="96"/>
      <c r="AO684" s="96"/>
      <c r="AP684" s="96"/>
      <c r="AQ684" s="96"/>
      <c r="AR684" s="140"/>
      <c r="AS684" s="140"/>
    </row>
    <row r="685" spans="23:45">
      <c r="W685" s="96"/>
      <c r="X685" s="96"/>
      <c r="Y685" s="96"/>
      <c r="Z685" s="96"/>
      <c r="AA685" s="96"/>
      <c r="AB685" s="96"/>
      <c r="AC685" s="96"/>
      <c r="AD685" s="96"/>
      <c r="AE685" s="96"/>
      <c r="AF685" s="96"/>
      <c r="AG685" s="96"/>
      <c r="AH685" s="96"/>
      <c r="AI685" s="96"/>
      <c r="AJ685" s="96"/>
      <c r="AK685" s="96"/>
      <c r="AL685" s="96"/>
      <c r="AM685" s="96"/>
      <c r="AN685" s="96"/>
      <c r="AO685" s="96"/>
      <c r="AP685" s="96"/>
      <c r="AQ685" s="96"/>
      <c r="AR685" s="140"/>
      <c r="AS685" s="140"/>
    </row>
    <row r="686" spans="23:45">
      <c r="W686" s="96"/>
      <c r="X686" s="96"/>
      <c r="Y686" s="96"/>
      <c r="Z686" s="96"/>
      <c r="AA686" s="96"/>
      <c r="AB686" s="96"/>
      <c r="AC686" s="96"/>
      <c r="AD686" s="96"/>
      <c r="AE686" s="96"/>
      <c r="AF686" s="96"/>
      <c r="AG686" s="96"/>
      <c r="AH686" s="96"/>
      <c r="AI686" s="96"/>
      <c r="AJ686" s="96"/>
      <c r="AK686" s="96"/>
      <c r="AL686" s="96"/>
      <c r="AM686" s="96"/>
      <c r="AN686" s="96"/>
      <c r="AO686" s="96"/>
      <c r="AP686" s="96"/>
      <c r="AQ686" s="96"/>
      <c r="AR686" s="140"/>
      <c r="AS686" s="140"/>
    </row>
    <row r="687" spans="23:45">
      <c r="W687" s="96"/>
      <c r="X687" s="96"/>
      <c r="Y687" s="96"/>
      <c r="Z687" s="96"/>
      <c r="AA687" s="96"/>
      <c r="AB687" s="96"/>
      <c r="AC687" s="96"/>
      <c r="AD687" s="96"/>
      <c r="AE687" s="96"/>
      <c r="AF687" s="96"/>
      <c r="AG687" s="96"/>
      <c r="AH687" s="96"/>
      <c r="AI687" s="96"/>
      <c r="AJ687" s="96"/>
      <c r="AK687" s="96"/>
      <c r="AL687" s="96"/>
      <c r="AM687" s="96"/>
      <c r="AN687" s="96"/>
      <c r="AO687" s="96"/>
      <c r="AP687" s="96"/>
      <c r="AQ687" s="96"/>
      <c r="AR687" s="140"/>
      <c r="AS687" s="140"/>
    </row>
    <row r="688" spans="23:45">
      <c r="W688" s="96"/>
      <c r="X688" s="96"/>
      <c r="Y688" s="96"/>
      <c r="Z688" s="96"/>
      <c r="AA688" s="96"/>
      <c r="AB688" s="96"/>
      <c r="AC688" s="96"/>
      <c r="AD688" s="96"/>
      <c r="AE688" s="96"/>
      <c r="AF688" s="96"/>
      <c r="AG688" s="96"/>
      <c r="AH688" s="96"/>
      <c r="AI688" s="96"/>
      <c r="AJ688" s="96"/>
      <c r="AK688" s="96"/>
      <c r="AL688" s="96"/>
      <c r="AM688" s="96"/>
      <c r="AN688" s="96"/>
      <c r="AO688" s="96"/>
      <c r="AP688" s="96"/>
      <c r="AQ688" s="96"/>
      <c r="AR688" s="140"/>
      <c r="AS688" s="140"/>
    </row>
    <row r="689" spans="23:45">
      <c r="W689" s="96"/>
      <c r="X689" s="96"/>
      <c r="Y689" s="96"/>
      <c r="Z689" s="96"/>
      <c r="AA689" s="96"/>
      <c r="AB689" s="96"/>
      <c r="AC689" s="96"/>
      <c r="AD689" s="96"/>
      <c r="AE689" s="96"/>
      <c r="AF689" s="96"/>
      <c r="AG689" s="96"/>
      <c r="AH689" s="96"/>
      <c r="AI689" s="96"/>
      <c r="AJ689" s="96"/>
      <c r="AK689" s="96"/>
      <c r="AL689" s="96"/>
      <c r="AM689" s="96"/>
      <c r="AN689" s="96"/>
      <c r="AO689" s="96"/>
      <c r="AP689" s="96"/>
      <c r="AQ689" s="96"/>
      <c r="AR689" s="140"/>
      <c r="AS689" s="140"/>
    </row>
    <row r="690" spans="23:45">
      <c r="W690" s="96"/>
      <c r="X690" s="96"/>
      <c r="Y690" s="96"/>
      <c r="Z690" s="96"/>
      <c r="AA690" s="96"/>
      <c r="AB690" s="96"/>
      <c r="AC690" s="96"/>
      <c r="AD690" s="96"/>
      <c r="AE690" s="96"/>
      <c r="AF690" s="96"/>
      <c r="AG690" s="96"/>
      <c r="AH690" s="96"/>
      <c r="AI690" s="96"/>
      <c r="AJ690" s="96"/>
      <c r="AK690" s="96"/>
      <c r="AL690" s="96"/>
      <c r="AM690" s="96"/>
      <c r="AN690" s="96"/>
      <c r="AO690" s="96"/>
      <c r="AP690" s="96"/>
      <c r="AQ690" s="96"/>
      <c r="AR690" s="140"/>
      <c r="AS690" s="140"/>
    </row>
    <row r="691" spans="23:45">
      <c r="W691" s="96"/>
      <c r="X691" s="96"/>
      <c r="Y691" s="96"/>
      <c r="Z691" s="96"/>
      <c r="AA691" s="96"/>
      <c r="AB691" s="96"/>
      <c r="AC691" s="96"/>
      <c r="AD691" s="96"/>
      <c r="AE691" s="96"/>
      <c r="AF691" s="96"/>
      <c r="AG691" s="96"/>
      <c r="AH691" s="96"/>
      <c r="AI691" s="96"/>
      <c r="AJ691" s="96"/>
      <c r="AK691" s="96"/>
      <c r="AL691" s="96"/>
      <c r="AM691" s="96"/>
      <c r="AN691" s="96"/>
      <c r="AO691" s="96"/>
      <c r="AP691" s="96"/>
      <c r="AQ691" s="96"/>
      <c r="AR691" s="140"/>
      <c r="AS691" s="140"/>
    </row>
    <row r="692" spans="23:45">
      <c r="W692" s="96"/>
      <c r="X692" s="96"/>
      <c r="Y692" s="96"/>
      <c r="Z692" s="96"/>
      <c r="AA692" s="96"/>
      <c r="AB692" s="96"/>
      <c r="AC692" s="96"/>
      <c r="AD692" s="96"/>
      <c r="AE692" s="96"/>
      <c r="AF692" s="96"/>
      <c r="AG692" s="96"/>
      <c r="AH692" s="96"/>
      <c r="AI692" s="96"/>
      <c r="AJ692" s="96"/>
      <c r="AK692" s="96"/>
      <c r="AL692" s="96"/>
      <c r="AM692" s="96"/>
      <c r="AN692" s="96"/>
      <c r="AO692" s="96"/>
      <c r="AP692" s="96"/>
      <c r="AQ692" s="96"/>
      <c r="AR692" s="140"/>
      <c r="AS692" s="140"/>
    </row>
    <row r="693" spans="23:45">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140"/>
      <c r="AS693" s="140"/>
    </row>
    <row r="694" spans="23:45">
      <c r="W694" s="96"/>
      <c r="X694" s="96"/>
      <c r="Y694" s="96"/>
      <c r="Z694" s="96"/>
      <c r="AA694" s="96"/>
      <c r="AB694" s="96"/>
      <c r="AC694" s="96"/>
      <c r="AD694" s="96"/>
      <c r="AE694" s="96"/>
      <c r="AF694" s="96"/>
      <c r="AG694" s="96"/>
      <c r="AH694" s="96"/>
      <c r="AI694" s="96"/>
      <c r="AJ694" s="96"/>
      <c r="AK694" s="96"/>
      <c r="AL694" s="96"/>
      <c r="AM694" s="96"/>
      <c r="AN694" s="96"/>
      <c r="AO694" s="96"/>
      <c r="AP694" s="96"/>
      <c r="AQ694" s="96"/>
      <c r="AR694" s="140"/>
      <c r="AS694" s="140"/>
    </row>
    <row r="695" spans="23:45">
      <c r="W695" s="96"/>
      <c r="X695" s="96"/>
      <c r="Y695" s="96"/>
      <c r="Z695" s="96"/>
      <c r="AA695" s="96"/>
      <c r="AB695" s="96"/>
      <c r="AC695" s="96"/>
      <c r="AD695" s="96"/>
      <c r="AE695" s="96"/>
      <c r="AF695" s="96"/>
      <c r="AG695" s="96"/>
      <c r="AH695" s="96"/>
      <c r="AI695" s="96"/>
      <c r="AJ695" s="96"/>
      <c r="AK695" s="96"/>
      <c r="AL695" s="96"/>
      <c r="AM695" s="96"/>
      <c r="AN695" s="96"/>
      <c r="AO695" s="96"/>
      <c r="AP695" s="96"/>
      <c r="AQ695" s="96"/>
      <c r="AR695" s="140"/>
      <c r="AS695" s="140"/>
    </row>
    <row r="696" spans="23:45">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140"/>
      <c r="AS696" s="140"/>
    </row>
    <row r="697" spans="23:45">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140"/>
      <c r="AS697" s="140"/>
    </row>
    <row r="698" spans="23:45">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140"/>
      <c r="AS698" s="140"/>
    </row>
    <row r="699" spans="23:45">
      <c r="W699" s="96"/>
      <c r="X699" s="96"/>
      <c r="Y699" s="96"/>
      <c r="Z699" s="96"/>
      <c r="AA699" s="96"/>
      <c r="AB699" s="96"/>
      <c r="AC699" s="96"/>
      <c r="AD699" s="96"/>
      <c r="AE699" s="96"/>
      <c r="AF699" s="96"/>
      <c r="AG699" s="96"/>
      <c r="AH699" s="96"/>
      <c r="AI699" s="96"/>
      <c r="AJ699" s="96"/>
      <c r="AK699" s="96"/>
      <c r="AL699" s="96"/>
      <c r="AM699" s="96"/>
      <c r="AN699" s="96"/>
      <c r="AO699" s="96"/>
      <c r="AP699" s="96"/>
      <c r="AQ699" s="96"/>
      <c r="AR699" s="140"/>
      <c r="AS699" s="140"/>
    </row>
    <row r="700" spans="23:45">
      <c r="W700" s="96"/>
      <c r="X700" s="96"/>
      <c r="Y700" s="96"/>
      <c r="Z700" s="96"/>
      <c r="AA700" s="96"/>
      <c r="AB700" s="96"/>
      <c r="AC700" s="96"/>
      <c r="AD700" s="96"/>
      <c r="AE700" s="96"/>
      <c r="AF700" s="96"/>
      <c r="AG700" s="96"/>
      <c r="AH700" s="96"/>
      <c r="AI700" s="96"/>
      <c r="AJ700" s="96"/>
      <c r="AK700" s="96"/>
      <c r="AL700" s="96"/>
      <c r="AM700" s="96"/>
      <c r="AN700" s="96"/>
      <c r="AO700" s="96"/>
      <c r="AP700" s="96"/>
      <c r="AQ700" s="96"/>
      <c r="AR700" s="140"/>
      <c r="AS700" s="140"/>
    </row>
    <row r="701" spans="23:45">
      <c r="W701" s="96"/>
      <c r="X701" s="96"/>
      <c r="Y701" s="96"/>
      <c r="Z701" s="96"/>
      <c r="AA701" s="96"/>
      <c r="AB701" s="96"/>
      <c r="AC701" s="96"/>
      <c r="AD701" s="96"/>
      <c r="AE701" s="96"/>
      <c r="AF701" s="96"/>
      <c r="AG701" s="96"/>
      <c r="AH701" s="96"/>
      <c r="AI701" s="96"/>
      <c r="AJ701" s="96"/>
      <c r="AK701" s="96"/>
      <c r="AL701" s="96"/>
      <c r="AM701" s="96"/>
      <c r="AN701" s="96"/>
      <c r="AO701" s="96"/>
      <c r="AP701" s="96"/>
      <c r="AQ701" s="96"/>
      <c r="AR701" s="140"/>
      <c r="AS701" s="140"/>
    </row>
    <row r="702" spans="23:45">
      <c r="W702" s="96"/>
      <c r="X702" s="96"/>
      <c r="Y702" s="96"/>
      <c r="Z702" s="96"/>
      <c r="AA702" s="96"/>
      <c r="AB702" s="96"/>
      <c r="AC702" s="96"/>
      <c r="AD702" s="96"/>
      <c r="AE702" s="96"/>
      <c r="AF702" s="96"/>
      <c r="AG702" s="96"/>
      <c r="AH702" s="96"/>
      <c r="AI702" s="96"/>
      <c r="AJ702" s="96"/>
      <c r="AK702" s="96"/>
      <c r="AL702" s="96"/>
      <c r="AM702" s="96"/>
      <c r="AN702" s="96"/>
      <c r="AO702" s="96"/>
      <c r="AP702" s="96"/>
      <c r="AQ702" s="96"/>
      <c r="AR702" s="140"/>
      <c r="AS702" s="140"/>
    </row>
    <row r="703" spans="23:45">
      <c r="W703" s="96"/>
      <c r="X703" s="96"/>
      <c r="Y703" s="96"/>
      <c r="Z703" s="96"/>
      <c r="AA703" s="96"/>
      <c r="AB703" s="96"/>
      <c r="AC703" s="96"/>
      <c r="AD703" s="96"/>
      <c r="AE703" s="96"/>
      <c r="AF703" s="96"/>
      <c r="AG703" s="96"/>
      <c r="AH703" s="96"/>
      <c r="AI703" s="96"/>
      <c r="AJ703" s="96"/>
      <c r="AK703" s="96"/>
      <c r="AL703" s="96"/>
      <c r="AM703" s="96"/>
      <c r="AN703" s="96"/>
      <c r="AO703" s="96"/>
      <c r="AP703" s="96"/>
      <c r="AQ703" s="96"/>
      <c r="AR703" s="140"/>
      <c r="AS703" s="140"/>
    </row>
    <row r="704" spans="23:45">
      <c r="W704" s="96"/>
      <c r="X704" s="96"/>
      <c r="Y704" s="96"/>
      <c r="Z704" s="96"/>
      <c r="AA704" s="96"/>
      <c r="AB704" s="96"/>
      <c r="AC704" s="96"/>
      <c r="AD704" s="96"/>
      <c r="AE704" s="96"/>
      <c r="AF704" s="96"/>
      <c r="AG704" s="96"/>
      <c r="AH704" s="96"/>
      <c r="AI704" s="96"/>
      <c r="AJ704" s="96"/>
      <c r="AK704" s="96"/>
      <c r="AL704" s="96"/>
      <c r="AM704" s="96"/>
      <c r="AN704" s="96"/>
      <c r="AO704" s="96"/>
      <c r="AP704" s="96"/>
      <c r="AQ704" s="96"/>
      <c r="AR704" s="140"/>
      <c r="AS704" s="140"/>
    </row>
    <row r="705" spans="23:45">
      <c r="W705" s="96"/>
      <c r="X705" s="96"/>
      <c r="Y705" s="96"/>
      <c r="Z705" s="96"/>
      <c r="AA705" s="96"/>
      <c r="AB705" s="96"/>
      <c r="AC705" s="96"/>
      <c r="AD705" s="96"/>
      <c r="AE705" s="96"/>
      <c r="AF705" s="96"/>
      <c r="AG705" s="96"/>
      <c r="AH705" s="96"/>
      <c r="AI705" s="96"/>
      <c r="AJ705" s="96"/>
      <c r="AK705" s="96"/>
      <c r="AL705" s="96"/>
      <c r="AM705" s="96"/>
      <c r="AN705" s="96"/>
      <c r="AO705" s="96"/>
      <c r="AP705" s="96"/>
      <c r="AQ705" s="96"/>
      <c r="AR705" s="140"/>
      <c r="AS705" s="140"/>
    </row>
    <row r="706" spans="23:45">
      <c r="W706" s="96"/>
      <c r="X706" s="96"/>
      <c r="Y706" s="96"/>
      <c r="Z706" s="96"/>
      <c r="AA706" s="96"/>
      <c r="AB706" s="96"/>
      <c r="AC706" s="96"/>
      <c r="AD706" s="96"/>
      <c r="AE706" s="96"/>
      <c r="AF706" s="96"/>
      <c r="AG706" s="96"/>
      <c r="AH706" s="96"/>
      <c r="AI706" s="96"/>
      <c r="AJ706" s="96"/>
      <c r="AK706" s="96"/>
      <c r="AL706" s="96"/>
      <c r="AM706" s="96"/>
      <c r="AN706" s="96"/>
      <c r="AO706" s="96"/>
      <c r="AP706" s="96"/>
      <c r="AQ706" s="96"/>
      <c r="AR706" s="140"/>
      <c r="AS706" s="140"/>
    </row>
    <row r="707" spans="23:45">
      <c r="W707" s="96"/>
      <c r="X707" s="96"/>
      <c r="Y707" s="96"/>
      <c r="Z707" s="96"/>
      <c r="AA707" s="96"/>
      <c r="AB707" s="96"/>
      <c r="AC707" s="96"/>
      <c r="AD707" s="96"/>
      <c r="AE707" s="96"/>
      <c r="AF707" s="96"/>
      <c r="AG707" s="96"/>
      <c r="AH707" s="96"/>
      <c r="AI707" s="96"/>
      <c r="AJ707" s="96"/>
      <c r="AK707" s="96"/>
      <c r="AL707" s="96"/>
      <c r="AM707" s="96"/>
      <c r="AN707" s="96"/>
      <c r="AO707" s="96"/>
      <c r="AP707" s="96"/>
      <c r="AQ707" s="96"/>
      <c r="AR707" s="140"/>
      <c r="AS707" s="140"/>
    </row>
    <row r="708" spans="23:45">
      <c r="W708" s="96"/>
      <c r="X708" s="96"/>
      <c r="Y708" s="96"/>
      <c r="Z708" s="96"/>
      <c r="AA708" s="96"/>
      <c r="AB708" s="96"/>
      <c r="AC708" s="96"/>
      <c r="AD708" s="96"/>
      <c r="AE708" s="96"/>
      <c r="AF708" s="96"/>
      <c r="AG708" s="96"/>
      <c r="AH708" s="96"/>
      <c r="AI708" s="96"/>
      <c r="AJ708" s="96"/>
      <c r="AK708" s="96"/>
      <c r="AL708" s="96"/>
      <c r="AM708" s="96"/>
      <c r="AN708" s="96"/>
      <c r="AO708" s="96"/>
      <c r="AP708" s="96"/>
      <c r="AQ708" s="96"/>
      <c r="AR708" s="140"/>
      <c r="AS708" s="140"/>
    </row>
    <row r="709" spans="23:45">
      <c r="W709" s="96"/>
      <c r="X709" s="96"/>
      <c r="Y709" s="96"/>
      <c r="Z709" s="96"/>
      <c r="AA709" s="96"/>
      <c r="AB709" s="96"/>
      <c r="AC709" s="96"/>
      <c r="AD709" s="96"/>
      <c r="AE709" s="96"/>
      <c r="AF709" s="96"/>
      <c r="AG709" s="96"/>
      <c r="AH709" s="96"/>
      <c r="AI709" s="96"/>
      <c r="AJ709" s="96"/>
      <c r="AK709" s="96"/>
      <c r="AL709" s="96"/>
      <c r="AM709" s="96"/>
      <c r="AN709" s="96"/>
      <c r="AO709" s="96"/>
      <c r="AP709" s="96"/>
      <c r="AQ709" s="96"/>
      <c r="AR709" s="140"/>
      <c r="AS709" s="140"/>
    </row>
    <row r="710" spans="23:45">
      <c r="W710" s="96"/>
      <c r="X710" s="96"/>
      <c r="Y710" s="96"/>
      <c r="Z710" s="96"/>
      <c r="AA710" s="96"/>
      <c r="AB710" s="96"/>
      <c r="AC710" s="96"/>
      <c r="AD710" s="96"/>
      <c r="AE710" s="96"/>
      <c r="AF710" s="96"/>
      <c r="AG710" s="96"/>
      <c r="AH710" s="96"/>
      <c r="AI710" s="96"/>
      <c r="AJ710" s="96"/>
      <c r="AK710" s="96"/>
      <c r="AL710" s="96"/>
      <c r="AM710" s="96"/>
      <c r="AN710" s="96"/>
      <c r="AO710" s="96"/>
      <c r="AP710" s="96"/>
      <c r="AQ710" s="96"/>
      <c r="AR710" s="140"/>
      <c r="AS710" s="140"/>
    </row>
    <row r="711" spans="23:45">
      <c r="W711" s="96"/>
      <c r="X711" s="96"/>
      <c r="Y711" s="96"/>
      <c r="Z711" s="96"/>
      <c r="AA711" s="96"/>
      <c r="AB711" s="96"/>
      <c r="AC711" s="96"/>
      <c r="AD711" s="96"/>
      <c r="AE711" s="96"/>
      <c r="AF711" s="96"/>
      <c r="AG711" s="96"/>
      <c r="AH711" s="96"/>
      <c r="AI711" s="96"/>
      <c r="AJ711" s="96"/>
      <c r="AK711" s="96"/>
      <c r="AL711" s="96"/>
      <c r="AM711" s="96"/>
      <c r="AN711" s="96"/>
      <c r="AO711" s="96"/>
      <c r="AP711" s="96"/>
      <c r="AQ711" s="96"/>
      <c r="AR711" s="140"/>
      <c r="AS711" s="140"/>
    </row>
    <row r="712" spans="23:45">
      <c r="W712" s="96"/>
      <c r="X712" s="96"/>
      <c r="Y712" s="96"/>
      <c r="Z712" s="96"/>
      <c r="AA712" s="96"/>
      <c r="AB712" s="96"/>
      <c r="AC712" s="96"/>
      <c r="AD712" s="96"/>
      <c r="AE712" s="96"/>
      <c r="AF712" s="96"/>
      <c r="AG712" s="96"/>
      <c r="AH712" s="96"/>
      <c r="AI712" s="96"/>
      <c r="AJ712" s="96"/>
      <c r="AK712" s="96"/>
      <c r="AL712" s="96"/>
      <c r="AM712" s="96"/>
      <c r="AN712" s="96"/>
      <c r="AO712" s="96"/>
      <c r="AP712" s="96"/>
      <c r="AQ712" s="96"/>
      <c r="AR712" s="140"/>
      <c r="AS712" s="140"/>
    </row>
    <row r="713" spans="23:45">
      <c r="W713" s="96"/>
      <c r="X713" s="96"/>
      <c r="Y713" s="96"/>
      <c r="Z713" s="96"/>
      <c r="AA713" s="96"/>
      <c r="AB713" s="96"/>
      <c r="AC713" s="96"/>
      <c r="AD713" s="96"/>
      <c r="AE713" s="96"/>
      <c r="AF713" s="96"/>
      <c r="AG713" s="96"/>
      <c r="AH713" s="96"/>
      <c r="AI713" s="96"/>
      <c r="AJ713" s="96"/>
      <c r="AK713" s="96"/>
      <c r="AL713" s="96"/>
      <c r="AM713" s="96"/>
      <c r="AN713" s="96"/>
      <c r="AO713" s="96"/>
      <c r="AP713" s="96"/>
      <c r="AQ713" s="96"/>
      <c r="AR713" s="140"/>
      <c r="AS713" s="140"/>
    </row>
    <row r="714" spans="23:45">
      <c r="W714" s="96"/>
      <c r="X714" s="96"/>
      <c r="Y714" s="96"/>
      <c r="Z714" s="96"/>
      <c r="AA714" s="96"/>
      <c r="AB714" s="96"/>
      <c r="AC714" s="96"/>
      <c r="AD714" s="96"/>
      <c r="AE714" s="96"/>
      <c r="AF714" s="96"/>
      <c r="AG714" s="96"/>
      <c r="AH714" s="96"/>
      <c r="AI714" s="96"/>
      <c r="AJ714" s="96"/>
      <c r="AK714" s="96"/>
      <c r="AL714" s="96"/>
      <c r="AM714" s="96"/>
      <c r="AN714" s="96"/>
      <c r="AO714" s="96"/>
      <c r="AP714" s="96"/>
      <c r="AQ714" s="96"/>
      <c r="AR714" s="140"/>
      <c r="AS714" s="140"/>
    </row>
    <row r="715" spans="23:45">
      <c r="W715" s="96"/>
      <c r="X715" s="96"/>
      <c r="Y715" s="96"/>
      <c r="Z715" s="96"/>
      <c r="AA715" s="96"/>
      <c r="AB715" s="96"/>
      <c r="AC715" s="96"/>
      <c r="AD715" s="96"/>
      <c r="AE715" s="96"/>
      <c r="AF715" s="96"/>
      <c r="AG715" s="96"/>
      <c r="AH715" s="96"/>
      <c r="AI715" s="96"/>
      <c r="AJ715" s="96"/>
      <c r="AK715" s="96"/>
      <c r="AL715" s="96"/>
      <c r="AM715" s="96"/>
      <c r="AN715" s="96"/>
      <c r="AO715" s="96"/>
      <c r="AP715" s="96"/>
      <c r="AQ715" s="96"/>
      <c r="AR715" s="140"/>
      <c r="AS715" s="140"/>
    </row>
    <row r="716" spans="23:45">
      <c r="W716" s="96"/>
      <c r="X716" s="96"/>
      <c r="Y716" s="96"/>
      <c r="Z716" s="96"/>
      <c r="AA716" s="96"/>
      <c r="AB716" s="96"/>
      <c r="AC716" s="96"/>
      <c r="AD716" s="96"/>
      <c r="AE716" s="96"/>
      <c r="AF716" s="96"/>
      <c r="AG716" s="96"/>
      <c r="AH716" s="96"/>
      <c r="AI716" s="96"/>
      <c r="AJ716" s="96"/>
      <c r="AK716" s="96"/>
      <c r="AL716" s="96"/>
      <c r="AM716" s="96"/>
      <c r="AN716" s="96"/>
      <c r="AO716" s="96"/>
      <c r="AP716" s="96"/>
      <c r="AQ716" s="96"/>
      <c r="AR716" s="140"/>
      <c r="AS716" s="140"/>
    </row>
    <row r="717" spans="23:45">
      <c r="W717" s="96"/>
      <c r="X717" s="96"/>
      <c r="Y717" s="96"/>
      <c r="Z717" s="96"/>
      <c r="AA717" s="96"/>
      <c r="AB717" s="96"/>
      <c r="AC717" s="96"/>
      <c r="AD717" s="96"/>
      <c r="AE717" s="96"/>
      <c r="AF717" s="96"/>
      <c r="AG717" s="96"/>
      <c r="AH717" s="96"/>
      <c r="AI717" s="96"/>
      <c r="AJ717" s="96"/>
      <c r="AK717" s="96"/>
      <c r="AL717" s="96"/>
      <c r="AM717" s="96"/>
      <c r="AN717" s="96"/>
      <c r="AO717" s="96"/>
      <c r="AP717" s="96"/>
      <c r="AQ717" s="96"/>
      <c r="AR717" s="140"/>
      <c r="AS717" s="140"/>
    </row>
    <row r="718" spans="23:45">
      <c r="W718" s="96"/>
      <c r="X718" s="96"/>
      <c r="Y718" s="96"/>
      <c r="Z718" s="96"/>
      <c r="AA718" s="96"/>
      <c r="AB718" s="96"/>
      <c r="AC718" s="96"/>
      <c r="AD718" s="96"/>
      <c r="AE718" s="96"/>
      <c r="AF718" s="96"/>
      <c r="AG718" s="96"/>
      <c r="AH718" s="96"/>
      <c r="AI718" s="96"/>
      <c r="AJ718" s="96"/>
      <c r="AK718" s="96"/>
      <c r="AL718" s="96"/>
      <c r="AM718" s="96"/>
      <c r="AN718" s="96"/>
      <c r="AO718" s="96"/>
      <c r="AP718" s="96"/>
      <c r="AQ718" s="96"/>
      <c r="AR718" s="140"/>
      <c r="AS718" s="140"/>
    </row>
    <row r="719" spans="23:45">
      <c r="W719" s="96"/>
      <c r="X719" s="96"/>
      <c r="Y719" s="96"/>
      <c r="Z719" s="96"/>
      <c r="AA719" s="96"/>
      <c r="AB719" s="96"/>
      <c r="AC719" s="96"/>
      <c r="AD719" s="96"/>
      <c r="AE719" s="96"/>
      <c r="AF719" s="96"/>
      <c r="AG719" s="96"/>
      <c r="AH719" s="96"/>
      <c r="AI719" s="96"/>
      <c r="AJ719" s="96"/>
      <c r="AK719" s="96"/>
      <c r="AL719" s="96"/>
      <c r="AM719" s="96"/>
      <c r="AN719" s="96"/>
      <c r="AO719" s="96"/>
      <c r="AP719" s="96"/>
      <c r="AQ719" s="96"/>
      <c r="AR719" s="140"/>
      <c r="AS719" s="140"/>
    </row>
    <row r="720" spans="23:45">
      <c r="W720" s="96"/>
      <c r="X720" s="96"/>
      <c r="Y720" s="96"/>
      <c r="Z720" s="96"/>
      <c r="AA720" s="96"/>
      <c r="AB720" s="96"/>
      <c r="AC720" s="96"/>
      <c r="AD720" s="96"/>
      <c r="AE720" s="96"/>
      <c r="AF720" s="96"/>
      <c r="AG720" s="96"/>
      <c r="AH720" s="96"/>
      <c r="AI720" s="96"/>
      <c r="AJ720" s="96"/>
      <c r="AK720" s="96"/>
      <c r="AL720" s="96"/>
      <c r="AM720" s="96"/>
      <c r="AN720" s="96"/>
      <c r="AO720" s="96"/>
      <c r="AP720" s="96"/>
      <c r="AQ720" s="96"/>
      <c r="AR720" s="140"/>
      <c r="AS720" s="140"/>
    </row>
    <row r="721" spans="23:45">
      <c r="W721" s="96"/>
      <c r="X721" s="96"/>
      <c r="Y721" s="96"/>
      <c r="Z721" s="96"/>
      <c r="AA721" s="96"/>
      <c r="AB721" s="96"/>
      <c r="AC721" s="96"/>
      <c r="AD721" s="96"/>
      <c r="AE721" s="96"/>
      <c r="AF721" s="96"/>
      <c r="AG721" s="96"/>
      <c r="AH721" s="96"/>
      <c r="AI721" s="96"/>
      <c r="AJ721" s="96"/>
      <c r="AK721" s="96"/>
      <c r="AL721" s="96"/>
      <c r="AM721" s="96"/>
      <c r="AN721" s="96"/>
      <c r="AO721" s="96"/>
      <c r="AP721" s="96"/>
      <c r="AQ721" s="96"/>
      <c r="AR721" s="140"/>
      <c r="AS721" s="140"/>
    </row>
    <row r="722" spans="23:45">
      <c r="W722" s="96"/>
      <c r="X722" s="96"/>
      <c r="Y722" s="96"/>
      <c r="Z722" s="96"/>
      <c r="AA722" s="96"/>
      <c r="AB722" s="96"/>
      <c r="AC722" s="96"/>
      <c r="AD722" s="96"/>
      <c r="AE722" s="96"/>
      <c r="AF722" s="96"/>
      <c r="AG722" s="96"/>
      <c r="AH722" s="96"/>
      <c r="AI722" s="96"/>
      <c r="AJ722" s="96"/>
      <c r="AK722" s="96"/>
      <c r="AL722" s="96"/>
      <c r="AM722" s="96"/>
      <c r="AN722" s="96"/>
      <c r="AO722" s="96"/>
      <c r="AP722" s="96"/>
      <c r="AQ722" s="96"/>
      <c r="AR722" s="140"/>
      <c r="AS722" s="140"/>
    </row>
    <row r="723" spans="23:45">
      <c r="W723" s="96"/>
      <c r="X723" s="96"/>
      <c r="Y723" s="96"/>
      <c r="Z723" s="96"/>
      <c r="AA723" s="96"/>
      <c r="AB723" s="96"/>
      <c r="AC723" s="96"/>
      <c r="AD723" s="96"/>
      <c r="AE723" s="96"/>
      <c r="AF723" s="96"/>
      <c r="AG723" s="96"/>
      <c r="AH723" s="96"/>
      <c r="AI723" s="96"/>
      <c r="AJ723" s="96"/>
      <c r="AK723" s="96"/>
      <c r="AL723" s="96"/>
      <c r="AM723" s="96"/>
      <c r="AN723" s="96"/>
      <c r="AO723" s="96"/>
      <c r="AP723" s="96"/>
      <c r="AQ723" s="96"/>
      <c r="AR723" s="140"/>
      <c r="AS723" s="140"/>
    </row>
    <row r="724" spans="23:45">
      <c r="W724" s="96"/>
      <c r="X724" s="96"/>
      <c r="Y724" s="96"/>
      <c r="Z724" s="96"/>
      <c r="AA724" s="96"/>
      <c r="AB724" s="96"/>
      <c r="AC724" s="96"/>
      <c r="AD724" s="96"/>
      <c r="AE724" s="96"/>
      <c r="AF724" s="96"/>
      <c r="AG724" s="96"/>
      <c r="AH724" s="96"/>
      <c r="AI724" s="96"/>
      <c r="AJ724" s="96"/>
      <c r="AK724" s="96"/>
      <c r="AL724" s="96"/>
      <c r="AM724" s="96"/>
      <c r="AN724" s="96"/>
      <c r="AO724" s="96"/>
      <c r="AP724" s="96"/>
      <c r="AQ724" s="96"/>
      <c r="AR724" s="140"/>
      <c r="AS724" s="140"/>
    </row>
    <row r="725" spans="23:45">
      <c r="W725" s="96"/>
      <c r="X725" s="96"/>
      <c r="Y725" s="96"/>
      <c r="Z725" s="96"/>
      <c r="AA725" s="96"/>
      <c r="AB725" s="96"/>
      <c r="AC725" s="96"/>
      <c r="AD725" s="96"/>
      <c r="AE725" s="96"/>
      <c r="AF725" s="96"/>
      <c r="AG725" s="96"/>
      <c r="AH725" s="96"/>
      <c r="AI725" s="96"/>
      <c r="AJ725" s="96"/>
      <c r="AK725" s="96"/>
      <c r="AL725" s="96"/>
      <c r="AM725" s="96"/>
      <c r="AN725" s="96"/>
      <c r="AO725" s="96"/>
      <c r="AP725" s="96"/>
      <c r="AQ725" s="96"/>
      <c r="AR725" s="140"/>
      <c r="AS725" s="140"/>
    </row>
    <row r="726" spans="23:45">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140"/>
      <c r="AS726" s="140"/>
    </row>
    <row r="727" spans="23:45">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140"/>
      <c r="AS727" s="140"/>
    </row>
    <row r="728" spans="23:45">
      <c r="W728" s="96"/>
      <c r="X728" s="96"/>
      <c r="Y728" s="96"/>
      <c r="Z728" s="96"/>
      <c r="AA728" s="96"/>
      <c r="AB728" s="96"/>
      <c r="AC728" s="96"/>
      <c r="AD728" s="96"/>
      <c r="AE728" s="96"/>
      <c r="AF728" s="96"/>
      <c r="AG728" s="96"/>
      <c r="AH728" s="96"/>
      <c r="AI728" s="96"/>
      <c r="AJ728" s="96"/>
      <c r="AK728" s="96"/>
      <c r="AL728" s="96"/>
      <c r="AM728" s="96"/>
      <c r="AN728" s="96"/>
      <c r="AO728" s="96"/>
      <c r="AP728" s="96"/>
      <c r="AQ728" s="96"/>
      <c r="AR728" s="140"/>
      <c r="AS728" s="140"/>
    </row>
    <row r="729" spans="23:45">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140"/>
      <c r="AS729" s="140"/>
    </row>
    <row r="730" spans="23:45">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140"/>
      <c r="AS730" s="140"/>
    </row>
    <row r="731" spans="23:45">
      <c r="W731" s="96"/>
      <c r="X731" s="96"/>
      <c r="Y731" s="96"/>
      <c r="Z731" s="96"/>
      <c r="AA731" s="96"/>
      <c r="AB731" s="96"/>
      <c r="AC731" s="96"/>
      <c r="AD731" s="96"/>
      <c r="AE731" s="96"/>
      <c r="AF731" s="96"/>
      <c r="AG731" s="96"/>
      <c r="AH731" s="96"/>
      <c r="AI731" s="96"/>
      <c r="AJ731" s="96"/>
      <c r="AK731" s="96"/>
      <c r="AL731" s="96"/>
      <c r="AM731" s="96"/>
      <c r="AN731" s="96"/>
      <c r="AO731" s="96"/>
      <c r="AP731" s="96"/>
      <c r="AQ731" s="96"/>
      <c r="AR731" s="140"/>
      <c r="AS731" s="140"/>
    </row>
    <row r="732" spans="23:45">
      <c r="W732" s="96"/>
      <c r="X732" s="96"/>
      <c r="Y732" s="96"/>
      <c r="Z732" s="96"/>
      <c r="AA732" s="96"/>
      <c r="AB732" s="96"/>
      <c r="AC732" s="96"/>
      <c r="AD732" s="96"/>
      <c r="AE732" s="96"/>
      <c r="AF732" s="96"/>
      <c r="AG732" s="96"/>
      <c r="AH732" s="96"/>
      <c r="AI732" s="96"/>
      <c r="AJ732" s="96"/>
      <c r="AK732" s="96"/>
      <c r="AL732" s="96"/>
      <c r="AM732" s="96"/>
      <c r="AN732" s="96"/>
      <c r="AO732" s="96"/>
      <c r="AP732" s="96"/>
      <c r="AQ732" s="96"/>
      <c r="AR732" s="140"/>
      <c r="AS732" s="140"/>
    </row>
    <row r="733" spans="23:45">
      <c r="W733" s="96"/>
      <c r="X733" s="96"/>
      <c r="Y733" s="96"/>
      <c r="Z733" s="96"/>
      <c r="AA733" s="96"/>
      <c r="AB733" s="96"/>
      <c r="AC733" s="96"/>
      <c r="AD733" s="96"/>
      <c r="AE733" s="96"/>
      <c r="AF733" s="96"/>
      <c r="AG733" s="96"/>
      <c r="AH733" s="96"/>
      <c r="AI733" s="96"/>
      <c r="AJ733" s="96"/>
      <c r="AK733" s="96"/>
      <c r="AL733" s="96"/>
      <c r="AM733" s="96"/>
      <c r="AN733" s="96"/>
      <c r="AO733" s="96"/>
      <c r="AP733" s="96"/>
      <c r="AQ733" s="96"/>
      <c r="AR733" s="140"/>
      <c r="AS733" s="140"/>
    </row>
    <row r="734" spans="23:45">
      <c r="W734" s="96"/>
      <c r="X734" s="96"/>
      <c r="Y734" s="96"/>
      <c r="Z734" s="96"/>
      <c r="AA734" s="96"/>
      <c r="AB734" s="96"/>
      <c r="AC734" s="96"/>
      <c r="AD734" s="96"/>
      <c r="AE734" s="96"/>
      <c r="AF734" s="96"/>
      <c r="AG734" s="96"/>
      <c r="AH734" s="96"/>
      <c r="AI734" s="96"/>
      <c r="AJ734" s="96"/>
      <c r="AK734" s="96"/>
      <c r="AL734" s="96"/>
      <c r="AM734" s="96"/>
      <c r="AN734" s="96"/>
      <c r="AO734" s="96"/>
      <c r="AP734" s="96"/>
      <c r="AQ734" s="96"/>
      <c r="AR734" s="140"/>
      <c r="AS734" s="140"/>
    </row>
    <row r="735" spans="23:45">
      <c r="W735" s="96"/>
      <c r="X735" s="96"/>
      <c r="Y735" s="96"/>
      <c r="Z735" s="96"/>
      <c r="AA735" s="96"/>
      <c r="AB735" s="96"/>
      <c r="AC735" s="96"/>
      <c r="AD735" s="96"/>
      <c r="AE735" s="96"/>
      <c r="AF735" s="96"/>
      <c r="AG735" s="96"/>
      <c r="AH735" s="96"/>
      <c r="AI735" s="96"/>
      <c r="AJ735" s="96"/>
      <c r="AK735" s="96"/>
      <c r="AL735" s="96"/>
      <c r="AM735" s="96"/>
      <c r="AN735" s="96"/>
      <c r="AO735" s="96"/>
      <c r="AP735" s="96"/>
      <c r="AQ735" s="96"/>
      <c r="AR735" s="140"/>
      <c r="AS735" s="140"/>
    </row>
    <row r="736" spans="23:45">
      <c r="W736" s="96"/>
      <c r="X736" s="96"/>
      <c r="Y736" s="96"/>
      <c r="Z736" s="96"/>
      <c r="AA736" s="96"/>
      <c r="AB736" s="96"/>
      <c r="AC736" s="96"/>
      <c r="AD736" s="96"/>
      <c r="AE736" s="96"/>
      <c r="AF736" s="96"/>
      <c r="AG736" s="96"/>
      <c r="AH736" s="96"/>
      <c r="AI736" s="96"/>
      <c r="AJ736" s="96"/>
      <c r="AK736" s="96"/>
      <c r="AL736" s="96"/>
      <c r="AM736" s="96"/>
      <c r="AN736" s="96"/>
      <c r="AO736" s="96"/>
      <c r="AP736" s="96"/>
      <c r="AQ736" s="96"/>
      <c r="AR736" s="140"/>
      <c r="AS736" s="140"/>
    </row>
    <row r="737" spans="23:45">
      <c r="W737" s="96"/>
      <c r="X737" s="96"/>
      <c r="Y737" s="96"/>
      <c r="Z737" s="96"/>
      <c r="AA737" s="96"/>
      <c r="AB737" s="96"/>
      <c r="AC737" s="96"/>
      <c r="AD737" s="96"/>
      <c r="AE737" s="96"/>
      <c r="AF737" s="96"/>
      <c r="AG737" s="96"/>
      <c r="AH737" s="96"/>
      <c r="AI737" s="96"/>
      <c r="AJ737" s="96"/>
      <c r="AK737" s="96"/>
      <c r="AL737" s="96"/>
      <c r="AM737" s="96"/>
      <c r="AN737" s="96"/>
      <c r="AO737" s="96"/>
      <c r="AP737" s="96"/>
      <c r="AQ737" s="96"/>
      <c r="AR737" s="140"/>
      <c r="AS737" s="140"/>
    </row>
    <row r="738" spans="23:45">
      <c r="W738" s="96"/>
      <c r="X738" s="96"/>
      <c r="Y738" s="96"/>
      <c r="Z738" s="96"/>
      <c r="AA738" s="96"/>
      <c r="AB738" s="96"/>
      <c r="AC738" s="96"/>
      <c r="AD738" s="96"/>
      <c r="AE738" s="96"/>
      <c r="AF738" s="96"/>
      <c r="AG738" s="96"/>
      <c r="AH738" s="96"/>
      <c r="AI738" s="96"/>
      <c r="AJ738" s="96"/>
      <c r="AK738" s="96"/>
      <c r="AL738" s="96"/>
      <c r="AM738" s="96"/>
      <c r="AN738" s="96"/>
      <c r="AO738" s="96"/>
      <c r="AP738" s="96"/>
      <c r="AQ738" s="96"/>
      <c r="AR738" s="140"/>
      <c r="AS738" s="140"/>
    </row>
    <row r="739" spans="23:45">
      <c r="W739" s="96"/>
      <c r="X739" s="96"/>
      <c r="Y739" s="96"/>
      <c r="Z739" s="96"/>
      <c r="AA739" s="96"/>
      <c r="AB739" s="96"/>
      <c r="AC739" s="96"/>
      <c r="AD739" s="96"/>
      <c r="AE739" s="96"/>
      <c r="AF739" s="96"/>
      <c r="AG739" s="96"/>
      <c r="AH739" s="96"/>
      <c r="AI739" s="96"/>
      <c r="AJ739" s="96"/>
      <c r="AK739" s="96"/>
      <c r="AL739" s="96"/>
      <c r="AM739" s="96"/>
      <c r="AN739" s="96"/>
      <c r="AO739" s="96"/>
      <c r="AP739" s="96"/>
      <c r="AQ739" s="96"/>
      <c r="AR739" s="140"/>
      <c r="AS739" s="140"/>
    </row>
    <row r="740" spans="23:45">
      <c r="W740" s="96"/>
      <c r="X740" s="96"/>
      <c r="Y740" s="96"/>
      <c r="Z740" s="96"/>
      <c r="AA740" s="96"/>
      <c r="AB740" s="96"/>
      <c r="AC740" s="96"/>
      <c r="AD740" s="96"/>
      <c r="AE740" s="96"/>
      <c r="AF740" s="96"/>
      <c r="AG740" s="96"/>
      <c r="AH740" s="96"/>
      <c r="AI740" s="96"/>
      <c r="AJ740" s="96"/>
      <c r="AK740" s="96"/>
      <c r="AL740" s="96"/>
      <c r="AM740" s="96"/>
      <c r="AN740" s="96"/>
      <c r="AO740" s="96"/>
      <c r="AP740" s="96"/>
      <c r="AQ740" s="96"/>
      <c r="AR740" s="140"/>
      <c r="AS740" s="140"/>
    </row>
    <row r="741" spans="23:45">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140"/>
      <c r="AS741" s="140"/>
    </row>
    <row r="742" spans="23:45">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140"/>
      <c r="AS742" s="140"/>
    </row>
    <row r="743" spans="23:45">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140"/>
      <c r="AS743" s="140"/>
    </row>
    <row r="744" spans="23:45">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140"/>
      <c r="AS744" s="140"/>
    </row>
    <row r="745" spans="23:45">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140"/>
      <c r="AS745" s="140"/>
    </row>
    <row r="746" spans="23:45">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140"/>
      <c r="AS746" s="140"/>
    </row>
    <row r="747" spans="23:45">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140"/>
      <c r="AS747" s="140"/>
    </row>
    <row r="748" spans="23:45">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140"/>
      <c r="AS748" s="140"/>
    </row>
    <row r="749" spans="23:45">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140"/>
      <c r="AS749" s="140"/>
    </row>
    <row r="750" spans="23:45">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140"/>
      <c r="AS750" s="140"/>
    </row>
    <row r="751" spans="23:45">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140"/>
      <c r="AS751" s="140"/>
    </row>
    <row r="752" spans="23:45">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140"/>
      <c r="AS752" s="140"/>
    </row>
    <row r="753" spans="23:45">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140"/>
      <c r="AS753" s="140"/>
    </row>
    <row r="754" spans="23:45">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140"/>
      <c r="AS754" s="140"/>
    </row>
    <row r="755" spans="23:45">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140"/>
      <c r="AS755" s="140"/>
    </row>
    <row r="756" spans="23:45">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140"/>
      <c r="AS756" s="140"/>
    </row>
    <row r="757" spans="23:45">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140"/>
      <c r="AS757" s="140"/>
    </row>
    <row r="758" spans="23:45">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140"/>
      <c r="AS758" s="140"/>
    </row>
    <row r="759" spans="23:45">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140"/>
      <c r="AS759" s="140"/>
    </row>
    <row r="760" spans="23:45">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140"/>
      <c r="AS760" s="140"/>
    </row>
    <row r="761" spans="23:45">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140"/>
      <c r="AS761" s="140"/>
    </row>
    <row r="762" spans="23:45">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140"/>
      <c r="AS762" s="140"/>
    </row>
    <row r="763" spans="23:45">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140"/>
      <c r="AS763" s="140"/>
    </row>
    <row r="764" spans="23:45">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140"/>
      <c r="AS764" s="140"/>
    </row>
    <row r="765" spans="23:45">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140"/>
      <c r="AS765" s="140"/>
    </row>
    <row r="766" spans="23:45">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140"/>
      <c r="AS766" s="140"/>
    </row>
    <row r="767" spans="23:45">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140"/>
      <c r="AS767" s="140"/>
    </row>
    <row r="768" spans="23:45">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140"/>
      <c r="AS768" s="140"/>
    </row>
    <row r="769" spans="23:45">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140"/>
      <c r="AS769" s="140"/>
    </row>
    <row r="770" spans="23:45">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140"/>
      <c r="AS770" s="140"/>
    </row>
    <row r="771" spans="23:45">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140"/>
      <c r="AS771" s="140"/>
    </row>
    <row r="772" spans="23:45">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140"/>
      <c r="AS772" s="140"/>
    </row>
    <row r="773" spans="23:45">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140"/>
      <c r="AS773" s="140"/>
    </row>
    <row r="774" spans="23:45">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140"/>
      <c r="AS774" s="140"/>
    </row>
    <row r="775" spans="23:45">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140"/>
      <c r="AS775" s="140"/>
    </row>
    <row r="776" spans="23:45">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140"/>
      <c r="AS776" s="140"/>
    </row>
    <row r="777" spans="23:45">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140"/>
      <c r="AS777" s="140"/>
    </row>
    <row r="778" spans="23:45">
      <c r="W778" s="96"/>
      <c r="X778" s="96"/>
      <c r="Y778" s="96"/>
      <c r="Z778" s="96"/>
      <c r="AA778" s="96"/>
      <c r="AB778" s="96"/>
      <c r="AC778" s="96"/>
      <c r="AD778" s="96"/>
      <c r="AE778" s="96"/>
      <c r="AF778" s="96"/>
      <c r="AG778" s="96"/>
      <c r="AH778" s="96"/>
      <c r="AI778" s="96"/>
      <c r="AJ778" s="96"/>
      <c r="AK778" s="96"/>
      <c r="AL778" s="96"/>
      <c r="AM778" s="96"/>
      <c r="AN778" s="96"/>
      <c r="AO778" s="96"/>
      <c r="AP778" s="96"/>
      <c r="AQ778" s="96"/>
      <c r="AR778" s="140"/>
      <c r="AS778" s="140"/>
    </row>
    <row r="779" spans="23:45">
      <c r="W779" s="96"/>
      <c r="X779" s="96"/>
      <c r="Y779" s="96"/>
      <c r="Z779" s="96"/>
      <c r="AA779" s="96"/>
      <c r="AB779" s="96"/>
      <c r="AC779" s="96"/>
      <c r="AD779" s="96"/>
      <c r="AE779" s="96"/>
      <c r="AF779" s="96"/>
      <c r="AG779" s="96"/>
      <c r="AH779" s="96"/>
      <c r="AI779" s="96"/>
      <c r="AJ779" s="96"/>
      <c r="AK779" s="96"/>
      <c r="AL779" s="96"/>
      <c r="AM779" s="96"/>
      <c r="AN779" s="96"/>
      <c r="AO779" s="96"/>
      <c r="AP779" s="96"/>
      <c r="AQ779" s="96"/>
      <c r="AR779" s="140"/>
      <c r="AS779" s="140"/>
    </row>
    <row r="780" spans="23:45">
      <c r="W780" s="96"/>
      <c r="X780" s="96"/>
      <c r="Y780" s="96"/>
      <c r="Z780" s="96"/>
      <c r="AA780" s="96"/>
      <c r="AB780" s="96"/>
      <c r="AC780" s="96"/>
      <c r="AD780" s="96"/>
      <c r="AE780" s="96"/>
      <c r="AF780" s="96"/>
      <c r="AG780" s="96"/>
      <c r="AH780" s="96"/>
      <c r="AI780" s="96"/>
      <c r="AJ780" s="96"/>
      <c r="AK780" s="96"/>
      <c r="AL780" s="96"/>
      <c r="AM780" s="96"/>
      <c r="AN780" s="96"/>
      <c r="AO780" s="96"/>
      <c r="AP780" s="96"/>
      <c r="AQ780" s="96"/>
      <c r="AR780" s="140"/>
      <c r="AS780" s="140"/>
    </row>
    <row r="781" spans="23:45">
      <c r="W781" s="96"/>
      <c r="X781" s="96"/>
      <c r="Y781" s="96"/>
      <c r="Z781" s="96"/>
      <c r="AA781" s="96"/>
      <c r="AB781" s="96"/>
      <c r="AC781" s="96"/>
      <c r="AD781" s="96"/>
      <c r="AE781" s="96"/>
      <c r="AF781" s="96"/>
      <c r="AG781" s="96"/>
      <c r="AH781" s="96"/>
      <c r="AI781" s="96"/>
      <c r="AJ781" s="96"/>
      <c r="AK781" s="96"/>
      <c r="AL781" s="96"/>
      <c r="AM781" s="96"/>
      <c r="AN781" s="96"/>
      <c r="AO781" s="96"/>
      <c r="AP781" s="96"/>
      <c r="AQ781" s="96"/>
      <c r="AR781" s="140"/>
      <c r="AS781" s="140"/>
    </row>
    <row r="782" spans="23:45">
      <c r="W782" s="96"/>
      <c r="X782" s="96"/>
      <c r="Y782" s="96"/>
      <c r="Z782" s="96"/>
      <c r="AA782" s="96"/>
      <c r="AB782" s="96"/>
      <c r="AC782" s="96"/>
      <c r="AD782" s="96"/>
      <c r="AE782" s="96"/>
      <c r="AF782" s="96"/>
      <c r="AG782" s="96"/>
      <c r="AH782" s="96"/>
      <c r="AI782" s="96"/>
      <c r="AJ782" s="96"/>
      <c r="AK782" s="96"/>
      <c r="AL782" s="96"/>
      <c r="AM782" s="96"/>
      <c r="AN782" s="96"/>
      <c r="AO782" s="96"/>
      <c r="AP782" s="96"/>
      <c r="AQ782" s="96"/>
      <c r="AR782" s="140"/>
      <c r="AS782" s="140"/>
    </row>
    <row r="783" spans="23:45">
      <c r="W783" s="96"/>
      <c r="X783" s="96"/>
      <c r="Y783" s="96"/>
      <c r="Z783" s="96"/>
      <c r="AA783" s="96"/>
      <c r="AB783" s="96"/>
      <c r="AC783" s="96"/>
      <c r="AD783" s="96"/>
      <c r="AE783" s="96"/>
      <c r="AF783" s="96"/>
      <c r="AG783" s="96"/>
      <c r="AH783" s="96"/>
      <c r="AI783" s="96"/>
      <c r="AJ783" s="96"/>
      <c r="AK783" s="96"/>
      <c r="AL783" s="96"/>
      <c r="AM783" s="96"/>
      <c r="AN783" s="96"/>
      <c r="AO783" s="96"/>
      <c r="AP783" s="96"/>
      <c r="AQ783" s="96"/>
      <c r="AR783" s="140"/>
      <c r="AS783" s="140"/>
    </row>
    <row r="784" spans="23:45">
      <c r="W784" s="96"/>
      <c r="X784" s="96"/>
      <c r="Y784" s="96"/>
      <c r="Z784" s="96"/>
      <c r="AA784" s="96"/>
      <c r="AB784" s="96"/>
      <c r="AC784" s="96"/>
      <c r="AD784" s="96"/>
      <c r="AE784" s="96"/>
      <c r="AF784" s="96"/>
      <c r="AG784" s="96"/>
      <c r="AH784" s="96"/>
      <c r="AI784" s="96"/>
      <c r="AJ784" s="96"/>
      <c r="AK784" s="96"/>
      <c r="AL784" s="96"/>
      <c r="AM784" s="96"/>
      <c r="AN784" s="96"/>
      <c r="AO784" s="96"/>
      <c r="AP784" s="96"/>
      <c r="AQ784" s="96"/>
      <c r="AR784" s="140"/>
      <c r="AS784" s="140"/>
    </row>
    <row r="785" spans="23:45">
      <c r="W785" s="96"/>
      <c r="X785" s="96"/>
      <c r="Y785" s="96"/>
      <c r="Z785" s="96"/>
      <c r="AA785" s="96"/>
      <c r="AB785" s="96"/>
      <c r="AC785" s="96"/>
      <c r="AD785" s="96"/>
      <c r="AE785" s="96"/>
      <c r="AF785" s="96"/>
      <c r="AG785" s="96"/>
      <c r="AH785" s="96"/>
      <c r="AI785" s="96"/>
      <c r="AJ785" s="96"/>
      <c r="AK785" s="96"/>
      <c r="AL785" s="96"/>
      <c r="AM785" s="96"/>
      <c r="AN785" s="96"/>
      <c r="AO785" s="96"/>
      <c r="AP785" s="96"/>
      <c r="AQ785" s="96"/>
      <c r="AR785" s="140"/>
      <c r="AS785" s="140"/>
    </row>
    <row r="786" spans="23:45">
      <c r="W786" s="96"/>
      <c r="X786" s="96"/>
      <c r="Y786" s="96"/>
      <c r="Z786" s="96"/>
      <c r="AA786" s="96"/>
      <c r="AB786" s="96"/>
      <c r="AC786" s="96"/>
      <c r="AD786" s="96"/>
      <c r="AE786" s="96"/>
      <c r="AF786" s="96"/>
      <c r="AG786" s="96"/>
      <c r="AH786" s="96"/>
      <c r="AI786" s="96"/>
      <c r="AJ786" s="96"/>
      <c r="AK786" s="96"/>
      <c r="AL786" s="96"/>
      <c r="AM786" s="96"/>
      <c r="AN786" s="96"/>
      <c r="AO786" s="96"/>
      <c r="AP786" s="96"/>
      <c r="AQ786" s="96"/>
      <c r="AR786" s="140"/>
      <c r="AS786" s="140"/>
    </row>
    <row r="787" spans="23:45">
      <c r="W787" s="96"/>
      <c r="X787" s="96"/>
      <c r="Y787" s="96"/>
      <c r="Z787" s="96"/>
      <c r="AA787" s="96"/>
      <c r="AB787" s="96"/>
      <c r="AC787" s="96"/>
      <c r="AD787" s="96"/>
      <c r="AE787" s="96"/>
      <c r="AF787" s="96"/>
      <c r="AG787" s="96"/>
      <c r="AH787" s="96"/>
      <c r="AI787" s="96"/>
      <c r="AJ787" s="96"/>
      <c r="AK787" s="96"/>
      <c r="AL787" s="96"/>
      <c r="AM787" s="96"/>
      <c r="AN787" s="96"/>
      <c r="AO787" s="96"/>
      <c r="AP787" s="96"/>
      <c r="AQ787" s="96"/>
      <c r="AR787" s="140"/>
      <c r="AS787" s="140"/>
    </row>
    <row r="788" spans="23:45">
      <c r="W788" s="96"/>
      <c r="X788" s="96"/>
      <c r="Y788" s="96"/>
      <c r="Z788" s="96"/>
      <c r="AA788" s="96"/>
      <c r="AB788" s="96"/>
      <c r="AC788" s="96"/>
      <c r="AD788" s="96"/>
      <c r="AE788" s="96"/>
      <c r="AF788" s="96"/>
      <c r="AG788" s="96"/>
      <c r="AH788" s="96"/>
      <c r="AI788" s="96"/>
      <c r="AJ788" s="96"/>
      <c r="AK788" s="96"/>
      <c r="AL788" s="96"/>
      <c r="AM788" s="96"/>
      <c r="AN788" s="96"/>
      <c r="AO788" s="96"/>
      <c r="AP788" s="96"/>
      <c r="AQ788" s="96"/>
      <c r="AR788" s="140"/>
      <c r="AS788" s="140"/>
    </row>
    <row r="789" spans="23:45">
      <c r="W789" s="96"/>
      <c r="X789" s="96"/>
      <c r="Y789" s="96"/>
      <c r="Z789" s="96"/>
      <c r="AA789" s="96"/>
      <c r="AB789" s="96"/>
      <c r="AC789" s="96"/>
      <c r="AD789" s="96"/>
      <c r="AE789" s="96"/>
      <c r="AF789" s="96"/>
      <c r="AG789" s="96"/>
      <c r="AH789" s="96"/>
      <c r="AI789" s="96"/>
      <c r="AJ789" s="96"/>
      <c r="AK789" s="96"/>
      <c r="AL789" s="96"/>
      <c r="AM789" s="96"/>
      <c r="AN789" s="96"/>
      <c r="AO789" s="96"/>
      <c r="AP789" s="96"/>
      <c r="AQ789" s="96"/>
      <c r="AR789" s="140"/>
      <c r="AS789" s="140"/>
    </row>
    <row r="790" spans="23:45">
      <c r="W790" s="96"/>
      <c r="X790" s="96"/>
      <c r="Y790" s="96"/>
      <c r="Z790" s="96"/>
      <c r="AA790" s="96"/>
      <c r="AB790" s="96"/>
      <c r="AC790" s="96"/>
      <c r="AD790" s="96"/>
      <c r="AE790" s="96"/>
      <c r="AF790" s="96"/>
      <c r="AG790" s="96"/>
      <c r="AH790" s="96"/>
      <c r="AI790" s="96"/>
      <c r="AJ790" s="96"/>
      <c r="AK790" s="96"/>
      <c r="AL790" s="96"/>
      <c r="AM790" s="96"/>
      <c r="AN790" s="96"/>
      <c r="AO790" s="96"/>
      <c r="AP790" s="96"/>
      <c r="AQ790" s="96"/>
      <c r="AR790" s="140"/>
      <c r="AS790" s="140"/>
    </row>
    <row r="791" spans="23:45">
      <c r="W791" s="96"/>
      <c r="X791" s="96"/>
      <c r="Y791" s="96"/>
      <c r="Z791" s="96"/>
      <c r="AA791" s="96"/>
      <c r="AB791" s="96"/>
      <c r="AC791" s="96"/>
      <c r="AD791" s="96"/>
      <c r="AE791" s="96"/>
      <c r="AF791" s="96"/>
      <c r="AG791" s="96"/>
      <c r="AH791" s="96"/>
      <c r="AI791" s="96"/>
      <c r="AJ791" s="96"/>
      <c r="AK791" s="96"/>
      <c r="AL791" s="96"/>
      <c r="AM791" s="96"/>
      <c r="AN791" s="96"/>
      <c r="AO791" s="96"/>
      <c r="AP791" s="96"/>
      <c r="AQ791" s="96"/>
      <c r="AR791" s="140"/>
      <c r="AS791" s="140"/>
    </row>
    <row r="792" spans="23:45">
      <c r="W792" s="96"/>
      <c r="X792" s="96"/>
      <c r="Y792" s="96"/>
      <c r="Z792" s="96"/>
      <c r="AA792" s="96"/>
      <c r="AB792" s="96"/>
      <c r="AC792" s="96"/>
      <c r="AD792" s="96"/>
      <c r="AE792" s="96"/>
      <c r="AF792" s="96"/>
      <c r="AG792" s="96"/>
      <c r="AH792" s="96"/>
      <c r="AI792" s="96"/>
      <c r="AJ792" s="96"/>
      <c r="AK792" s="96"/>
      <c r="AL792" s="96"/>
      <c r="AM792" s="96"/>
      <c r="AN792" s="96"/>
      <c r="AO792" s="96"/>
      <c r="AP792" s="96"/>
      <c r="AQ792" s="96"/>
      <c r="AR792" s="140"/>
      <c r="AS792" s="140"/>
    </row>
    <row r="793" spans="23:45">
      <c r="W793" s="96"/>
      <c r="X793" s="96"/>
      <c r="Y793" s="96"/>
      <c r="Z793" s="96"/>
      <c r="AA793" s="96"/>
      <c r="AB793" s="96"/>
      <c r="AC793" s="96"/>
      <c r="AD793" s="96"/>
      <c r="AE793" s="96"/>
      <c r="AF793" s="96"/>
      <c r="AG793" s="96"/>
      <c r="AH793" s="96"/>
      <c r="AI793" s="96"/>
      <c r="AJ793" s="96"/>
      <c r="AK793" s="96"/>
      <c r="AL793" s="96"/>
      <c r="AM793" s="96"/>
      <c r="AN793" s="96"/>
      <c r="AO793" s="96"/>
      <c r="AP793" s="96"/>
      <c r="AQ793" s="96"/>
      <c r="AR793" s="140"/>
      <c r="AS793" s="140"/>
    </row>
    <row r="794" spans="23:45">
      <c r="W794" s="96"/>
      <c r="X794" s="96"/>
      <c r="Y794" s="96"/>
      <c r="Z794" s="96"/>
      <c r="AA794" s="96"/>
      <c r="AB794" s="96"/>
      <c r="AC794" s="96"/>
      <c r="AD794" s="96"/>
      <c r="AE794" s="96"/>
      <c r="AF794" s="96"/>
      <c r="AG794" s="96"/>
      <c r="AH794" s="96"/>
      <c r="AI794" s="96"/>
      <c r="AJ794" s="96"/>
      <c r="AK794" s="96"/>
      <c r="AL794" s="96"/>
      <c r="AM794" s="96"/>
      <c r="AN794" s="96"/>
      <c r="AO794" s="96"/>
      <c r="AP794" s="96"/>
      <c r="AQ794" s="96"/>
      <c r="AR794" s="140"/>
      <c r="AS794" s="140"/>
    </row>
    <row r="795" spans="23:45">
      <c r="W795" s="96"/>
      <c r="X795" s="96"/>
      <c r="Y795" s="96"/>
      <c r="Z795" s="96"/>
      <c r="AA795" s="96"/>
      <c r="AB795" s="96"/>
      <c r="AC795" s="96"/>
      <c r="AD795" s="96"/>
      <c r="AE795" s="96"/>
      <c r="AF795" s="96"/>
      <c r="AG795" s="96"/>
      <c r="AH795" s="96"/>
      <c r="AI795" s="96"/>
      <c r="AJ795" s="96"/>
      <c r="AK795" s="96"/>
      <c r="AL795" s="96"/>
      <c r="AM795" s="96"/>
      <c r="AN795" s="96"/>
      <c r="AO795" s="96"/>
      <c r="AP795" s="96"/>
      <c r="AQ795" s="96"/>
      <c r="AR795" s="140"/>
      <c r="AS795" s="140"/>
    </row>
    <row r="796" spans="23:45">
      <c r="W796" s="96"/>
      <c r="X796" s="96"/>
      <c r="Y796" s="96"/>
      <c r="Z796" s="96"/>
      <c r="AA796" s="96"/>
      <c r="AB796" s="96"/>
      <c r="AC796" s="96"/>
      <c r="AD796" s="96"/>
      <c r="AE796" s="96"/>
      <c r="AF796" s="96"/>
      <c r="AG796" s="96"/>
      <c r="AH796" s="96"/>
      <c r="AI796" s="96"/>
      <c r="AJ796" s="96"/>
      <c r="AK796" s="96"/>
      <c r="AL796" s="96"/>
      <c r="AM796" s="96"/>
      <c r="AN796" s="96"/>
      <c r="AO796" s="96"/>
      <c r="AP796" s="96"/>
      <c r="AQ796" s="96"/>
      <c r="AR796" s="140"/>
      <c r="AS796" s="140"/>
    </row>
    <row r="797" spans="23:45">
      <c r="W797" s="96"/>
      <c r="X797" s="96"/>
      <c r="Y797" s="96"/>
      <c r="Z797" s="96"/>
      <c r="AA797" s="96"/>
      <c r="AB797" s="96"/>
      <c r="AC797" s="96"/>
      <c r="AD797" s="96"/>
      <c r="AE797" s="96"/>
      <c r="AF797" s="96"/>
      <c r="AG797" s="96"/>
      <c r="AH797" s="96"/>
      <c r="AI797" s="96"/>
      <c r="AJ797" s="96"/>
      <c r="AK797" s="96"/>
      <c r="AL797" s="96"/>
      <c r="AM797" s="96"/>
      <c r="AN797" s="96"/>
      <c r="AO797" s="96"/>
      <c r="AP797" s="96"/>
      <c r="AQ797" s="96"/>
      <c r="AR797" s="140"/>
      <c r="AS797" s="140"/>
    </row>
    <row r="798" spans="23:45">
      <c r="W798" s="96"/>
      <c r="X798" s="96"/>
      <c r="Y798" s="96"/>
      <c r="Z798" s="96"/>
      <c r="AA798" s="96"/>
      <c r="AB798" s="96"/>
      <c r="AC798" s="96"/>
      <c r="AD798" s="96"/>
      <c r="AE798" s="96"/>
      <c r="AF798" s="96"/>
      <c r="AG798" s="96"/>
      <c r="AH798" s="96"/>
      <c r="AI798" s="96"/>
      <c r="AJ798" s="96"/>
      <c r="AK798" s="96"/>
      <c r="AL798" s="96"/>
      <c r="AM798" s="96"/>
      <c r="AN798" s="96"/>
      <c r="AO798" s="96"/>
      <c r="AP798" s="96"/>
      <c r="AQ798" s="96"/>
      <c r="AR798" s="140"/>
      <c r="AS798" s="140"/>
    </row>
    <row r="799" spans="23:45">
      <c r="W799" s="96"/>
      <c r="X799" s="96"/>
      <c r="Y799" s="96"/>
      <c r="Z799" s="96"/>
      <c r="AA799" s="96"/>
      <c r="AB799" s="96"/>
      <c r="AC799" s="96"/>
      <c r="AD799" s="96"/>
      <c r="AE799" s="96"/>
      <c r="AF799" s="96"/>
      <c r="AG799" s="96"/>
      <c r="AH799" s="96"/>
      <c r="AI799" s="96"/>
      <c r="AJ799" s="96"/>
      <c r="AK799" s="96"/>
      <c r="AL799" s="96"/>
      <c r="AM799" s="96"/>
      <c r="AN799" s="96"/>
      <c r="AO799" s="96"/>
      <c r="AP799" s="96"/>
      <c r="AQ799" s="96"/>
      <c r="AR799" s="140"/>
      <c r="AS799" s="140"/>
    </row>
    <row r="800" spans="23:45">
      <c r="W800" s="96"/>
      <c r="X800" s="96"/>
      <c r="Y800" s="96"/>
      <c r="Z800" s="96"/>
      <c r="AA800" s="96"/>
      <c r="AB800" s="96"/>
      <c r="AC800" s="96"/>
      <c r="AD800" s="96"/>
      <c r="AE800" s="96"/>
      <c r="AF800" s="96"/>
      <c r="AG800" s="96"/>
      <c r="AH800" s="96"/>
      <c r="AI800" s="96"/>
      <c r="AJ800" s="96"/>
      <c r="AK800" s="96"/>
      <c r="AL800" s="96"/>
      <c r="AM800" s="96"/>
      <c r="AN800" s="96"/>
      <c r="AO800" s="96"/>
      <c r="AP800" s="96"/>
      <c r="AQ800" s="96"/>
      <c r="AR800" s="140"/>
      <c r="AS800" s="140"/>
    </row>
    <row r="801" spans="23:45">
      <c r="W801" s="96"/>
      <c r="X801" s="96"/>
      <c r="Y801" s="96"/>
      <c r="Z801" s="96"/>
      <c r="AA801" s="96"/>
      <c r="AB801" s="96"/>
      <c r="AC801" s="96"/>
      <c r="AD801" s="96"/>
      <c r="AE801" s="96"/>
      <c r="AF801" s="96"/>
      <c r="AG801" s="96"/>
      <c r="AH801" s="96"/>
      <c r="AI801" s="96"/>
      <c r="AJ801" s="96"/>
      <c r="AK801" s="96"/>
      <c r="AL801" s="96"/>
      <c r="AM801" s="96"/>
      <c r="AN801" s="96"/>
      <c r="AO801" s="96"/>
      <c r="AP801" s="96"/>
      <c r="AQ801" s="96"/>
      <c r="AR801" s="140"/>
      <c r="AS801" s="140"/>
    </row>
    <row r="802" spans="23:45">
      <c r="W802" s="96"/>
      <c r="X802" s="96"/>
      <c r="Y802" s="96"/>
      <c r="Z802" s="96"/>
      <c r="AA802" s="96"/>
      <c r="AB802" s="96"/>
      <c r="AC802" s="96"/>
      <c r="AD802" s="96"/>
      <c r="AE802" s="96"/>
      <c r="AF802" s="96"/>
      <c r="AG802" s="96"/>
      <c r="AH802" s="96"/>
      <c r="AI802" s="96"/>
      <c r="AJ802" s="96"/>
      <c r="AK802" s="96"/>
      <c r="AL802" s="96"/>
      <c r="AM802" s="96"/>
      <c r="AN802" s="96"/>
      <c r="AO802" s="96"/>
      <c r="AP802" s="96"/>
      <c r="AQ802" s="96"/>
      <c r="AR802" s="140"/>
      <c r="AS802" s="140"/>
    </row>
    <row r="803" spans="23:45">
      <c r="W803" s="96"/>
      <c r="X803" s="96"/>
      <c r="Y803" s="96"/>
      <c r="Z803" s="96"/>
      <c r="AA803" s="96"/>
      <c r="AB803" s="96"/>
      <c r="AC803" s="96"/>
      <c r="AD803" s="96"/>
      <c r="AE803" s="96"/>
      <c r="AF803" s="96"/>
      <c r="AG803" s="96"/>
      <c r="AH803" s="96"/>
      <c r="AI803" s="96"/>
      <c r="AJ803" s="96"/>
      <c r="AK803" s="96"/>
      <c r="AL803" s="96"/>
      <c r="AM803" s="96"/>
      <c r="AN803" s="96"/>
      <c r="AO803" s="96"/>
      <c r="AP803" s="96"/>
      <c r="AQ803" s="96"/>
      <c r="AR803" s="140"/>
      <c r="AS803" s="140"/>
    </row>
    <row r="804" spans="23:45">
      <c r="W804" s="96"/>
      <c r="X804" s="96"/>
      <c r="Y804" s="96"/>
      <c r="Z804" s="96"/>
      <c r="AA804" s="96"/>
      <c r="AB804" s="96"/>
      <c r="AC804" s="96"/>
      <c r="AD804" s="96"/>
      <c r="AE804" s="96"/>
      <c r="AF804" s="96"/>
      <c r="AG804" s="96"/>
      <c r="AH804" s="96"/>
      <c r="AI804" s="96"/>
      <c r="AJ804" s="96"/>
      <c r="AK804" s="96"/>
      <c r="AL804" s="96"/>
      <c r="AM804" s="96"/>
      <c r="AN804" s="96"/>
      <c r="AO804" s="96"/>
      <c r="AP804" s="96"/>
      <c r="AQ804" s="96"/>
      <c r="AR804" s="140"/>
      <c r="AS804" s="140"/>
    </row>
    <row r="805" spans="23:45">
      <c r="W805" s="96"/>
      <c r="X805" s="96"/>
      <c r="Y805" s="96"/>
      <c r="Z805" s="96"/>
      <c r="AA805" s="96"/>
      <c r="AB805" s="96"/>
      <c r="AC805" s="96"/>
      <c r="AD805" s="96"/>
      <c r="AE805" s="96"/>
      <c r="AF805" s="96"/>
      <c r="AG805" s="96"/>
      <c r="AH805" s="96"/>
      <c r="AI805" s="96"/>
      <c r="AJ805" s="96"/>
      <c r="AK805" s="96"/>
      <c r="AL805" s="96"/>
      <c r="AM805" s="96"/>
      <c r="AN805" s="96"/>
      <c r="AO805" s="96"/>
      <c r="AP805" s="96"/>
      <c r="AQ805" s="96"/>
      <c r="AR805" s="140"/>
      <c r="AS805" s="140"/>
    </row>
    <row r="806" spans="23:45">
      <c r="W806" s="96"/>
      <c r="X806" s="96"/>
      <c r="Y806" s="96"/>
      <c r="Z806" s="96"/>
      <c r="AA806" s="96"/>
      <c r="AB806" s="96"/>
      <c r="AC806" s="96"/>
      <c r="AD806" s="96"/>
      <c r="AE806" s="96"/>
      <c r="AF806" s="96"/>
      <c r="AG806" s="96"/>
      <c r="AH806" s="96"/>
      <c r="AI806" s="96"/>
      <c r="AJ806" s="96"/>
      <c r="AK806" s="96"/>
      <c r="AL806" s="96"/>
      <c r="AM806" s="96"/>
      <c r="AN806" s="96"/>
      <c r="AO806" s="96"/>
      <c r="AP806" s="96"/>
      <c r="AQ806" s="96"/>
      <c r="AR806" s="140"/>
      <c r="AS806" s="140"/>
    </row>
    <row r="807" spans="23:45">
      <c r="W807" s="96"/>
      <c r="X807" s="96"/>
      <c r="Y807" s="96"/>
      <c r="Z807" s="96"/>
      <c r="AA807" s="96"/>
      <c r="AB807" s="96"/>
      <c r="AC807" s="96"/>
      <c r="AD807" s="96"/>
      <c r="AE807" s="96"/>
      <c r="AF807" s="96"/>
      <c r="AG807" s="96"/>
      <c r="AH807" s="96"/>
      <c r="AI807" s="96"/>
      <c r="AJ807" s="96"/>
      <c r="AK807" s="96"/>
      <c r="AL807" s="96"/>
      <c r="AM807" s="96"/>
      <c r="AN807" s="96"/>
      <c r="AO807" s="96"/>
      <c r="AP807" s="96"/>
      <c r="AQ807" s="96"/>
      <c r="AR807" s="140"/>
      <c r="AS807" s="140"/>
    </row>
    <row r="808" spans="23:45">
      <c r="W808" s="96"/>
      <c r="X808" s="96"/>
      <c r="Y808" s="96"/>
      <c r="Z808" s="96"/>
      <c r="AA808" s="96"/>
      <c r="AB808" s="96"/>
      <c r="AC808" s="96"/>
      <c r="AD808" s="96"/>
      <c r="AE808" s="96"/>
      <c r="AF808" s="96"/>
      <c r="AG808" s="96"/>
      <c r="AH808" s="96"/>
      <c r="AI808" s="96"/>
      <c r="AJ808" s="96"/>
      <c r="AK808" s="96"/>
      <c r="AL808" s="96"/>
      <c r="AM808" s="96"/>
      <c r="AN808" s="96"/>
      <c r="AO808" s="96"/>
      <c r="AP808" s="96"/>
      <c r="AQ808" s="96"/>
      <c r="AR808" s="140"/>
      <c r="AS808" s="140"/>
    </row>
    <row r="809" spans="23:45">
      <c r="W809" s="96"/>
      <c r="X809" s="96"/>
      <c r="Y809" s="96"/>
      <c r="Z809" s="96"/>
      <c r="AA809" s="96"/>
      <c r="AB809" s="96"/>
      <c r="AC809" s="96"/>
      <c r="AD809" s="96"/>
      <c r="AE809" s="96"/>
      <c r="AF809" s="96"/>
      <c r="AG809" s="96"/>
      <c r="AH809" s="96"/>
      <c r="AI809" s="96"/>
      <c r="AJ809" s="96"/>
      <c r="AK809" s="96"/>
      <c r="AL809" s="96"/>
      <c r="AM809" s="96"/>
      <c r="AN809" s="96"/>
      <c r="AO809" s="96"/>
      <c r="AP809" s="96"/>
      <c r="AQ809" s="96"/>
      <c r="AR809" s="140"/>
      <c r="AS809" s="140"/>
    </row>
    <row r="810" spans="23:45">
      <c r="W810" s="96"/>
      <c r="X810" s="96"/>
      <c r="Y810" s="96"/>
      <c r="Z810" s="96"/>
      <c r="AA810" s="96"/>
      <c r="AB810" s="96"/>
      <c r="AC810" s="96"/>
      <c r="AD810" s="96"/>
      <c r="AE810" s="96"/>
      <c r="AF810" s="96"/>
      <c r="AG810" s="96"/>
      <c r="AH810" s="96"/>
      <c r="AI810" s="96"/>
      <c r="AJ810" s="96"/>
      <c r="AK810" s="96"/>
      <c r="AL810" s="96"/>
      <c r="AM810" s="96"/>
      <c r="AN810" s="96"/>
      <c r="AO810" s="96"/>
      <c r="AP810" s="96"/>
      <c r="AQ810" s="96"/>
      <c r="AR810" s="140"/>
      <c r="AS810" s="140"/>
    </row>
    <row r="811" spans="23:45">
      <c r="W811" s="96"/>
      <c r="X811" s="96"/>
      <c r="Y811" s="96"/>
      <c r="Z811" s="96"/>
      <c r="AA811" s="96"/>
      <c r="AB811" s="96"/>
      <c r="AC811" s="96"/>
      <c r="AD811" s="96"/>
      <c r="AE811" s="96"/>
      <c r="AF811" s="96"/>
      <c r="AG811" s="96"/>
      <c r="AH811" s="96"/>
      <c r="AI811" s="96"/>
      <c r="AJ811" s="96"/>
      <c r="AK811" s="96"/>
      <c r="AL811" s="96"/>
      <c r="AM811" s="96"/>
      <c r="AN811" s="96"/>
      <c r="AO811" s="96"/>
      <c r="AP811" s="96"/>
      <c r="AQ811" s="96"/>
      <c r="AR811" s="140"/>
      <c r="AS811" s="140"/>
    </row>
    <row r="812" spans="23:45">
      <c r="W812" s="96"/>
      <c r="X812" s="96"/>
      <c r="Y812" s="96"/>
      <c r="Z812" s="96"/>
      <c r="AA812" s="96"/>
      <c r="AB812" s="96"/>
      <c r="AC812" s="96"/>
      <c r="AD812" s="96"/>
      <c r="AE812" s="96"/>
      <c r="AF812" s="96"/>
      <c r="AG812" s="96"/>
      <c r="AH812" s="96"/>
      <c r="AI812" s="96"/>
      <c r="AJ812" s="96"/>
      <c r="AK812" s="96"/>
      <c r="AL812" s="96"/>
      <c r="AM812" s="96"/>
      <c r="AN812" s="96"/>
      <c r="AO812" s="96"/>
      <c r="AP812" s="96"/>
      <c r="AQ812" s="96"/>
      <c r="AR812" s="140"/>
      <c r="AS812" s="140"/>
    </row>
    <row r="813" spans="23:45">
      <c r="W813" s="96"/>
      <c r="X813" s="96"/>
      <c r="Y813" s="96"/>
      <c r="Z813" s="96"/>
      <c r="AA813" s="96"/>
      <c r="AB813" s="96"/>
      <c r="AC813" s="96"/>
      <c r="AD813" s="96"/>
      <c r="AE813" s="96"/>
      <c r="AF813" s="96"/>
      <c r="AG813" s="96"/>
      <c r="AH813" s="96"/>
      <c r="AI813" s="96"/>
      <c r="AJ813" s="96"/>
      <c r="AK813" s="96"/>
      <c r="AL813" s="96"/>
      <c r="AM813" s="96"/>
      <c r="AN813" s="96"/>
      <c r="AO813" s="96"/>
      <c r="AP813" s="96"/>
      <c r="AQ813" s="96"/>
      <c r="AR813" s="140"/>
      <c r="AS813" s="140"/>
    </row>
    <row r="814" spans="23:45">
      <c r="W814" s="96"/>
      <c r="X814" s="96"/>
      <c r="Y814" s="96"/>
      <c r="Z814" s="96"/>
      <c r="AA814" s="96"/>
      <c r="AB814" s="96"/>
      <c r="AC814" s="96"/>
      <c r="AD814" s="96"/>
      <c r="AE814" s="96"/>
      <c r="AF814" s="96"/>
      <c r="AG814" s="96"/>
      <c r="AH814" s="96"/>
      <c r="AI814" s="96"/>
      <c r="AJ814" s="96"/>
      <c r="AK814" s="96"/>
      <c r="AL814" s="96"/>
      <c r="AM814" s="96"/>
      <c r="AN814" s="96"/>
      <c r="AO814" s="96"/>
      <c r="AP814" s="96"/>
      <c r="AQ814" s="96"/>
      <c r="AR814" s="140"/>
      <c r="AS814" s="140"/>
    </row>
    <row r="815" spans="23:45">
      <c r="W815" s="96"/>
      <c r="X815" s="96"/>
      <c r="Y815" s="96"/>
      <c r="Z815" s="96"/>
      <c r="AA815" s="96"/>
      <c r="AB815" s="96"/>
      <c r="AC815" s="96"/>
      <c r="AD815" s="96"/>
      <c r="AE815" s="96"/>
      <c r="AF815" s="96"/>
      <c r="AG815" s="96"/>
      <c r="AH815" s="96"/>
      <c r="AI815" s="96"/>
      <c r="AJ815" s="96"/>
      <c r="AK815" s="96"/>
      <c r="AL815" s="96"/>
      <c r="AM815" s="96"/>
      <c r="AN815" s="96"/>
      <c r="AO815" s="96"/>
      <c r="AP815" s="96"/>
      <c r="AQ815" s="96"/>
      <c r="AR815" s="140"/>
      <c r="AS815" s="140"/>
    </row>
    <row r="816" spans="23:45">
      <c r="W816" s="96"/>
      <c r="X816" s="96"/>
      <c r="Y816" s="96"/>
      <c r="Z816" s="96"/>
      <c r="AA816" s="96"/>
      <c r="AB816" s="96"/>
      <c r="AC816" s="96"/>
      <c r="AD816" s="96"/>
      <c r="AE816" s="96"/>
      <c r="AF816" s="96"/>
      <c r="AG816" s="96"/>
      <c r="AH816" s="96"/>
      <c r="AI816" s="96"/>
      <c r="AJ816" s="96"/>
      <c r="AK816" s="96"/>
      <c r="AL816" s="96"/>
      <c r="AM816" s="96"/>
      <c r="AN816" s="96"/>
      <c r="AO816" s="96"/>
      <c r="AP816" s="96"/>
      <c r="AQ816" s="96"/>
      <c r="AR816" s="140"/>
      <c r="AS816" s="140"/>
    </row>
    <row r="817" spans="23:45">
      <c r="W817" s="96"/>
      <c r="X817" s="96"/>
      <c r="Y817" s="96"/>
      <c r="Z817" s="96"/>
      <c r="AA817" s="96"/>
      <c r="AB817" s="96"/>
      <c r="AC817" s="96"/>
      <c r="AD817" s="96"/>
      <c r="AE817" s="96"/>
      <c r="AF817" s="96"/>
      <c r="AG817" s="96"/>
      <c r="AH817" s="96"/>
      <c r="AI817" s="96"/>
      <c r="AJ817" s="96"/>
      <c r="AK817" s="96"/>
      <c r="AL817" s="96"/>
      <c r="AM817" s="96"/>
      <c r="AN817" s="96"/>
      <c r="AO817" s="96"/>
      <c r="AP817" s="96"/>
      <c r="AQ817" s="96"/>
      <c r="AR817" s="140"/>
      <c r="AS817" s="140"/>
    </row>
    <row r="818" spans="23:45">
      <c r="W818" s="96"/>
      <c r="X818" s="96"/>
      <c r="Y818" s="96"/>
      <c r="Z818" s="96"/>
      <c r="AA818" s="96"/>
      <c r="AB818" s="96"/>
      <c r="AC818" s="96"/>
      <c r="AD818" s="96"/>
      <c r="AE818" s="96"/>
      <c r="AF818" s="96"/>
      <c r="AG818" s="96"/>
      <c r="AH818" s="96"/>
      <c r="AI818" s="96"/>
      <c r="AJ818" s="96"/>
      <c r="AK818" s="96"/>
      <c r="AL818" s="96"/>
      <c r="AM818" s="96"/>
      <c r="AN818" s="96"/>
      <c r="AO818" s="96"/>
      <c r="AP818" s="96"/>
      <c r="AQ818" s="96"/>
      <c r="AR818" s="140"/>
      <c r="AS818" s="140"/>
    </row>
    <row r="819" spans="23:45">
      <c r="W819" s="96"/>
      <c r="X819" s="96"/>
      <c r="Y819" s="96"/>
      <c r="Z819" s="96"/>
      <c r="AA819" s="96"/>
      <c r="AB819" s="96"/>
      <c r="AC819" s="96"/>
      <c r="AD819" s="96"/>
      <c r="AE819" s="96"/>
      <c r="AF819" s="96"/>
      <c r="AG819" s="96"/>
      <c r="AH819" s="96"/>
      <c r="AI819" s="96"/>
      <c r="AJ819" s="96"/>
      <c r="AK819" s="96"/>
      <c r="AL819" s="96"/>
      <c r="AM819" s="96"/>
      <c r="AN819" s="96"/>
      <c r="AO819" s="96"/>
      <c r="AP819" s="96"/>
      <c r="AQ819" s="96"/>
      <c r="AR819" s="140"/>
      <c r="AS819" s="140"/>
    </row>
    <row r="820" spans="23:45">
      <c r="W820" s="96"/>
      <c r="X820" s="96"/>
      <c r="Y820" s="96"/>
      <c r="Z820" s="96"/>
      <c r="AA820" s="96"/>
      <c r="AB820" s="96"/>
      <c r="AC820" s="96"/>
      <c r="AD820" s="96"/>
      <c r="AE820" s="96"/>
      <c r="AF820" s="96"/>
      <c r="AG820" s="96"/>
      <c r="AH820" s="96"/>
      <c r="AI820" s="96"/>
      <c r="AJ820" s="96"/>
      <c r="AK820" s="96"/>
      <c r="AL820" s="96"/>
      <c r="AM820" s="96"/>
      <c r="AN820" s="96"/>
      <c r="AO820" s="96"/>
      <c r="AP820" s="96"/>
      <c r="AQ820" s="96"/>
      <c r="AR820" s="140"/>
      <c r="AS820" s="140"/>
    </row>
    <row r="821" spans="23:45">
      <c r="W821" s="96"/>
      <c r="X821" s="96"/>
      <c r="Y821" s="96"/>
      <c r="Z821" s="96"/>
      <c r="AA821" s="96"/>
      <c r="AB821" s="96"/>
      <c r="AC821" s="96"/>
      <c r="AD821" s="96"/>
      <c r="AE821" s="96"/>
      <c r="AF821" s="96"/>
      <c r="AG821" s="96"/>
      <c r="AH821" s="96"/>
      <c r="AI821" s="96"/>
      <c r="AJ821" s="96"/>
      <c r="AK821" s="96"/>
      <c r="AL821" s="96"/>
      <c r="AM821" s="96"/>
      <c r="AN821" s="96"/>
      <c r="AO821" s="96"/>
      <c r="AP821" s="96"/>
      <c r="AQ821" s="96"/>
      <c r="AR821" s="140"/>
      <c r="AS821" s="140"/>
    </row>
    <row r="822" spans="23:45">
      <c r="W822" s="96"/>
      <c r="X822" s="96"/>
      <c r="Y822" s="96"/>
      <c r="Z822" s="96"/>
      <c r="AA822" s="96"/>
      <c r="AB822" s="96"/>
      <c r="AC822" s="96"/>
      <c r="AD822" s="96"/>
      <c r="AE822" s="96"/>
      <c r="AF822" s="96"/>
      <c r="AG822" s="96"/>
      <c r="AH822" s="96"/>
      <c r="AI822" s="96"/>
      <c r="AJ822" s="96"/>
      <c r="AK822" s="96"/>
      <c r="AL822" s="96"/>
      <c r="AM822" s="96"/>
      <c r="AN822" s="96"/>
      <c r="AO822" s="96"/>
      <c r="AP822" s="96"/>
      <c r="AQ822" s="96"/>
      <c r="AR822" s="140"/>
      <c r="AS822" s="140"/>
    </row>
    <row r="823" spans="23:45">
      <c r="W823" s="96"/>
      <c r="X823" s="96"/>
      <c r="Y823" s="96"/>
      <c r="Z823" s="96"/>
      <c r="AA823" s="96"/>
      <c r="AB823" s="96"/>
      <c r="AC823" s="96"/>
      <c r="AD823" s="96"/>
      <c r="AE823" s="96"/>
      <c r="AF823" s="96"/>
      <c r="AG823" s="96"/>
      <c r="AH823" s="96"/>
      <c r="AI823" s="96"/>
      <c r="AJ823" s="96"/>
      <c r="AK823" s="96"/>
      <c r="AL823" s="96"/>
      <c r="AM823" s="96"/>
      <c r="AN823" s="96"/>
      <c r="AO823" s="96"/>
      <c r="AP823" s="96"/>
      <c r="AQ823" s="96"/>
      <c r="AR823" s="140"/>
      <c r="AS823" s="140"/>
    </row>
    <row r="824" spans="23:45">
      <c r="W824" s="96"/>
      <c r="X824" s="96"/>
      <c r="Y824" s="96"/>
      <c r="Z824" s="96"/>
      <c r="AA824" s="96"/>
      <c r="AB824" s="96"/>
      <c r="AC824" s="96"/>
      <c r="AD824" s="96"/>
      <c r="AE824" s="96"/>
      <c r="AF824" s="96"/>
      <c r="AG824" s="96"/>
      <c r="AH824" s="96"/>
      <c r="AI824" s="96"/>
      <c r="AJ824" s="96"/>
      <c r="AK824" s="96"/>
      <c r="AL824" s="96"/>
      <c r="AM824" s="96"/>
      <c r="AN824" s="96"/>
      <c r="AO824" s="96"/>
      <c r="AP824" s="96"/>
      <c r="AQ824" s="96"/>
      <c r="AR824" s="140"/>
      <c r="AS824" s="140"/>
    </row>
    <row r="825" spans="23:45">
      <c r="W825" s="96"/>
      <c r="X825" s="96"/>
      <c r="Y825" s="96"/>
      <c r="Z825" s="96"/>
      <c r="AA825" s="96"/>
      <c r="AB825" s="96"/>
      <c r="AC825" s="96"/>
      <c r="AD825" s="96"/>
      <c r="AE825" s="96"/>
      <c r="AF825" s="96"/>
      <c r="AG825" s="96"/>
      <c r="AH825" s="96"/>
      <c r="AI825" s="96"/>
      <c r="AJ825" s="96"/>
      <c r="AK825" s="96"/>
      <c r="AL825" s="96"/>
      <c r="AM825" s="96"/>
      <c r="AN825" s="96"/>
      <c r="AO825" s="96"/>
      <c r="AP825" s="96"/>
      <c r="AQ825" s="96"/>
      <c r="AR825" s="140"/>
      <c r="AS825" s="140"/>
    </row>
    <row r="826" spans="23:45">
      <c r="W826" s="96"/>
      <c r="X826" s="96"/>
      <c r="Y826" s="96"/>
      <c r="Z826" s="96"/>
      <c r="AA826" s="96"/>
      <c r="AB826" s="96"/>
      <c r="AC826" s="96"/>
      <c r="AD826" s="96"/>
      <c r="AE826" s="96"/>
      <c r="AF826" s="96"/>
      <c r="AG826" s="96"/>
      <c r="AH826" s="96"/>
      <c r="AI826" s="96"/>
      <c r="AJ826" s="96"/>
      <c r="AK826" s="96"/>
      <c r="AL826" s="96"/>
      <c r="AM826" s="96"/>
      <c r="AN826" s="96"/>
      <c r="AO826" s="96"/>
      <c r="AP826" s="96"/>
      <c r="AQ826" s="96"/>
      <c r="AR826" s="140"/>
      <c r="AS826" s="140"/>
    </row>
    <row r="827" spans="23:45">
      <c r="W827" s="96"/>
      <c r="X827" s="96"/>
      <c r="Y827" s="96"/>
      <c r="Z827" s="96"/>
      <c r="AA827" s="96"/>
      <c r="AB827" s="96"/>
      <c r="AC827" s="96"/>
      <c r="AD827" s="96"/>
      <c r="AE827" s="96"/>
      <c r="AF827" s="96"/>
      <c r="AG827" s="96"/>
      <c r="AH827" s="96"/>
      <c r="AI827" s="96"/>
      <c r="AJ827" s="96"/>
      <c r="AK827" s="96"/>
      <c r="AL827" s="96"/>
      <c r="AM827" s="96"/>
      <c r="AN827" s="96"/>
      <c r="AO827" s="96"/>
      <c r="AP827" s="96"/>
      <c r="AQ827" s="96"/>
      <c r="AR827" s="140"/>
      <c r="AS827" s="140"/>
    </row>
    <row r="828" spans="23:45">
      <c r="W828" s="96"/>
      <c r="X828" s="96"/>
      <c r="Y828" s="96"/>
      <c r="Z828" s="96"/>
      <c r="AA828" s="96"/>
      <c r="AB828" s="96"/>
      <c r="AC828" s="96"/>
      <c r="AD828" s="96"/>
      <c r="AE828" s="96"/>
      <c r="AF828" s="96"/>
      <c r="AG828" s="96"/>
      <c r="AH828" s="96"/>
      <c r="AI828" s="96"/>
      <c r="AJ828" s="96"/>
      <c r="AK828" s="96"/>
      <c r="AL828" s="96"/>
      <c r="AM828" s="96"/>
      <c r="AN828" s="96"/>
      <c r="AO828" s="96"/>
      <c r="AP828" s="96"/>
      <c r="AQ828" s="96"/>
      <c r="AR828" s="140"/>
      <c r="AS828" s="140"/>
    </row>
    <row r="829" spans="23:45">
      <c r="W829" s="96"/>
      <c r="X829" s="96"/>
      <c r="Y829" s="96"/>
      <c r="Z829" s="96"/>
      <c r="AA829" s="96"/>
      <c r="AB829" s="96"/>
      <c r="AC829" s="96"/>
      <c r="AD829" s="96"/>
      <c r="AE829" s="96"/>
      <c r="AF829" s="96"/>
      <c r="AG829" s="96"/>
      <c r="AH829" s="96"/>
      <c r="AI829" s="96"/>
      <c r="AJ829" s="96"/>
      <c r="AK829" s="96"/>
      <c r="AL829" s="96"/>
      <c r="AM829" s="96"/>
      <c r="AN829" s="96"/>
      <c r="AO829" s="96"/>
      <c r="AP829" s="96"/>
      <c r="AQ829" s="96"/>
      <c r="AR829" s="140"/>
      <c r="AS829" s="140"/>
    </row>
    <row r="830" spans="23:45">
      <c r="W830" s="96"/>
      <c r="X830" s="96"/>
      <c r="Y830" s="96"/>
      <c r="Z830" s="96"/>
      <c r="AA830" s="96"/>
      <c r="AB830" s="96"/>
      <c r="AC830" s="96"/>
      <c r="AD830" s="96"/>
      <c r="AE830" s="96"/>
      <c r="AF830" s="96"/>
      <c r="AG830" s="96"/>
      <c r="AH830" s="96"/>
      <c r="AI830" s="96"/>
      <c r="AJ830" s="96"/>
      <c r="AK830" s="96"/>
      <c r="AL830" s="96"/>
      <c r="AM830" s="96"/>
      <c r="AN830" s="96"/>
      <c r="AO830" s="96"/>
      <c r="AP830" s="96"/>
      <c r="AQ830" s="96"/>
      <c r="AR830" s="140"/>
      <c r="AS830" s="140"/>
    </row>
    <row r="831" spans="23:45">
      <c r="W831" s="96"/>
      <c r="X831" s="96"/>
      <c r="Y831" s="96"/>
      <c r="Z831" s="96"/>
      <c r="AA831" s="96"/>
      <c r="AB831" s="96"/>
      <c r="AC831" s="96"/>
      <c r="AD831" s="96"/>
      <c r="AE831" s="96"/>
      <c r="AF831" s="96"/>
      <c r="AG831" s="96"/>
      <c r="AH831" s="96"/>
      <c r="AI831" s="96"/>
      <c r="AJ831" s="96"/>
      <c r="AK831" s="96"/>
      <c r="AL831" s="96"/>
      <c r="AM831" s="96"/>
      <c r="AN831" s="96"/>
      <c r="AO831" s="96"/>
      <c r="AP831" s="96"/>
      <c r="AQ831" s="96"/>
      <c r="AR831" s="140"/>
      <c r="AS831" s="140"/>
    </row>
    <row r="832" spans="23:45">
      <c r="W832" s="96"/>
      <c r="X832" s="96"/>
      <c r="Y832" s="96"/>
      <c r="Z832" s="96"/>
      <c r="AA832" s="96"/>
      <c r="AB832" s="96"/>
      <c r="AC832" s="96"/>
      <c r="AD832" s="96"/>
      <c r="AE832" s="96"/>
      <c r="AF832" s="96"/>
      <c r="AG832" s="96"/>
      <c r="AH832" s="96"/>
      <c r="AI832" s="96"/>
      <c r="AJ832" s="96"/>
      <c r="AK832" s="96"/>
      <c r="AL832" s="96"/>
      <c r="AM832" s="96"/>
      <c r="AN832" s="96"/>
      <c r="AO832" s="96"/>
      <c r="AP832" s="96"/>
      <c r="AQ832" s="96"/>
      <c r="AR832" s="140"/>
      <c r="AS832" s="140"/>
    </row>
    <row r="833" spans="23:45">
      <c r="W833" s="96"/>
      <c r="X833" s="96"/>
      <c r="Y833" s="96"/>
      <c r="Z833" s="96"/>
      <c r="AA833" s="96"/>
      <c r="AB833" s="96"/>
      <c r="AC833" s="96"/>
      <c r="AD833" s="96"/>
      <c r="AE833" s="96"/>
      <c r="AF833" s="96"/>
      <c r="AG833" s="96"/>
      <c r="AH833" s="96"/>
      <c r="AI833" s="96"/>
      <c r="AJ833" s="96"/>
      <c r="AK833" s="96"/>
      <c r="AL833" s="96"/>
      <c r="AM833" s="96"/>
      <c r="AN833" s="96"/>
      <c r="AO833" s="96"/>
      <c r="AP833" s="96"/>
      <c r="AQ833" s="96"/>
      <c r="AR833" s="140"/>
      <c r="AS833" s="140"/>
    </row>
    <row r="834" spans="23:45">
      <c r="W834" s="96"/>
      <c r="X834" s="96"/>
      <c r="Y834" s="96"/>
      <c r="Z834" s="96"/>
      <c r="AA834" s="96"/>
      <c r="AB834" s="96"/>
      <c r="AC834" s="96"/>
      <c r="AD834" s="96"/>
      <c r="AE834" s="96"/>
      <c r="AF834" s="96"/>
      <c r="AG834" s="96"/>
      <c r="AH834" s="96"/>
      <c r="AI834" s="96"/>
      <c r="AJ834" s="96"/>
      <c r="AK834" s="96"/>
      <c r="AL834" s="96"/>
      <c r="AM834" s="96"/>
      <c r="AN834" s="96"/>
      <c r="AO834" s="96"/>
      <c r="AP834" s="96"/>
      <c r="AQ834" s="96"/>
      <c r="AR834" s="140"/>
      <c r="AS834" s="140"/>
    </row>
    <row r="835" spans="23:45">
      <c r="W835" s="96"/>
      <c r="X835" s="96"/>
      <c r="Y835" s="96"/>
      <c r="Z835" s="96"/>
      <c r="AA835" s="96"/>
      <c r="AB835" s="96"/>
      <c r="AC835" s="96"/>
      <c r="AD835" s="96"/>
      <c r="AE835" s="96"/>
      <c r="AF835" s="96"/>
      <c r="AG835" s="96"/>
      <c r="AH835" s="96"/>
      <c r="AI835" s="96"/>
      <c r="AJ835" s="96"/>
      <c r="AK835" s="96"/>
      <c r="AL835" s="96"/>
      <c r="AM835" s="96"/>
      <c r="AN835" s="96"/>
      <c r="AO835" s="96"/>
      <c r="AP835" s="96"/>
      <c r="AQ835" s="96"/>
      <c r="AR835" s="140"/>
      <c r="AS835" s="140"/>
    </row>
    <row r="836" spans="23:45">
      <c r="W836" s="96"/>
      <c r="X836" s="96"/>
      <c r="Y836" s="96"/>
      <c r="Z836" s="96"/>
      <c r="AA836" s="96"/>
      <c r="AB836" s="96"/>
      <c r="AC836" s="96"/>
      <c r="AD836" s="96"/>
      <c r="AE836" s="96"/>
      <c r="AF836" s="96"/>
      <c r="AG836" s="96"/>
      <c r="AH836" s="96"/>
      <c r="AI836" s="96"/>
      <c r="AJ836" s="96"/>
      <c r="AK836" s="96"/>
      <c r="AL836" s="96"/>
      <c r="AM836" s="96"/>
      <c r="AN836" s="96"/>
      <c r="AO836" s="96"/>
      <c r="AP836" s="96"/>
      <c r="AQ836" s="96"/>
      <c r="AR836" s="140"/>
      <c r="AS836" s="140"/>
    </row>
    <row r="837" spans="23:45">
      <c r="W837" s="96"/>
      <c r="X837" s="96"/>
      <c r="Y837" s="96"/>
      <c r="Z837" s="96"/>
      <c r="AA837" s="96"/>
      <c r="AB837" s="96"/>
      <c r="AC837" s="96"/>
      <c r="AD837" s="96"/>
      <c r="AE837" s="96"/>
      <c r="AF837" s="96"/>
      <c r="AG837" s="96"/>
      <c r="AH837" s="96"/>
      <c r="AI837" s="96"/>
      <c r="AJ837" s="96"/>
      <c r="AK837" s="96"/>
      <c r="AL837" s="96"/>
      <c r="AM837" s="96"/>
      <c r="AN837" s="96"/>
      <c r="AO837" s="96"/>
      <c r="AP837" s="96"/>
      <c r="AQ837" s="96"/>
      <c r="AR837" s="140"/>
      <c r="AS837" s="140"/>
    </row>
    <row r="838" spans="23:45">
      <c r="W838" s="96"/>
      <c r="X838" s="96"/>
      <c r="Y838" s="96"/>
      <c r="Z838" s="96"/>
      <c r="AA838" s="96"/>
      <c r="AB838" s="96"/>
      <c r="AC838" s="96"/>
      <c r="AD838" s="96"/>
      <c r="AE838" s="96"/>
      <c r="AF838" s="96"/>
      <c r="AG838" s="96"/>
      <c r="AH838" s="96"/>
      <c r="AI838" s="96"/>
      <c r="AJ838" s="96"/>
      <c r="AK838" s="96"/>
      <c r="AL838" s="96"/>
      <c r="AM838" s="96"/>
      <c r="AN838" s="96"/>
      <c r="AO838" s="96"/>
      <c r="AP838" s="96"/>
      <c r="AQ838" s="96"/>
      <c r="AR838" s="140"/>
      <c r="AS838" s="140"/>
    </row>
    <row r="839" spans="23:45">
      <c r="W839" s="96"/>
      <c r="X839" s="96"/>
      <c r="Y839" s="96"/>
      <c r="Z839" s="96"/>
      <c r="AA839" s="96"/>
      <c r="AB839" s="96"/>
      <c r="AC839" s="96"/>
      <c r="AD839" s="96"/>
      <c r="AE839" s="96"/>
      <c r="AF839" s="96"/>
      <c r="AG839" s="96"/>
      <c r="AH839" s="96"/>
      <c r="AI839" s="96"/>
      <c r="AJ839" s="96"/>
      <c r="AK839" s="96"/>
      <c r="AL839" s="96"/>
      <c r="AM839" s="96"/>
      <c r="AN839" s="96"/>
      <c r="AO839" s="96"/>
      <c r="AP839" s="96"/>
      <c r="AQ839" s="96"/>
      <c r="AR839" s="140"/>
      <c r="AS839" s="140"/>
    </row>
    <row r="840" spans="23:45">
      <c r="W840" s="96"/>
      <c r="X840" s="96"/>
      <c r="Y840" s="96"/>
      <c r="Z840" s="96"/>
      <c r="AA840" s="96"/>
      <c r="AB840" s="96"/>
      <c r="AC840" s="96"/>
      <c r="AD840" s="96"/>
      <c r="AE840" s="96"/>
      <c r="AF840" s="96"/>
      <c r="AG840" s="96"/>
      <c r="AH840" s="96"/>
      <c r="AI840" s="96"/>
      <c r="AJ840" s="96"/>
      <c r="AK840" s="96"/>
      <c r="AL840" s="96"/>
      <c r="AM840" s="96"/>
      <c r="AN840" s="96"/>
      <c r="AO840" s="96"/>
      <c r="AP840" s="96"/>
      <c r="AQ840" s="96"/>
      <c r="AR840" s="140"/>
      <c r="AS840" s="140"/>
    </row>
    <row r="841" spans="23:45">
      <c r="W841" s="96"/>
      <c r="X841" s="96"/>
      <c r="Y841" s="96"/>
      <c r="Z841" s="96"/>
      <c r="AA841" s="96"/>
      <c r="AB841" s="96"/>
      <c r="AC841" s="96"/>
      <c r="AD841" s="96"/>
      <c r="AE841" s="96"/>
      <c r="AF841" s="96"/>
      <c r="AG841" s="96"/>
      <c r="AH841" s="96"/>
      <c r="AI841" s="96"/>
      <c r="AJ841" s="96"/>
      <c r="AK841" s="96"/>
      <c r="AL841" s="96"/>
      <c r="AM841" s="96"/>
      <c r="AN841" s="96"/>
      <c r="AO841" s="96"/>
      <c r="AP841" s="96"/>
      <c r="AQ841" s="96"/>
      <c r="AR841" s="140"/>
      <c r="AS841" s="140"/>
    </row>
    <row r="842" spans="23:45">
      <c r="W842" s="96"/>
      <c r="X842" s="96"/>
      <c r="Y842" s="96"/>
      <c r="Z842" s="96"/>
      <c r="AA842" s="96"/>
      <c r="AB842" s="96"/>
      <c r="AC842" s="96"/>
      <c r="AD842" s="96"/>
      <c r="AE842" s="96"/>
      <c r="AF842" s="96"/>
      <c r="AG842" s="96"/>
      <c r="AH842" s="96"/>
      <c r="AI842" s="96"/>
      <c r="AJ842" s="96"/>
      <c r="AK842" s="96"/>
      <c r="AL842" s="96"/>
      <c r="AM842" s="96"/>
      <c r="AN842" s="96"/>
      <c r="AO842" s="96"/>
      <c r="AP842" s="96"/>
      <c r="AQ842" s="96"/>
      <c r="AR842" s="140"/>
      <c r="AS842" s="140"/>
    </row>
    <row r="843" spans="23:45">
      <c r="W843" s="96"/>
      <c r="X843" s="96"/>
      <c r="Y843" s="96"/>
      <c r="Z843" s="96"/>
      <c r="AA843" s="96"/>
      <c r="AB843" s="96"/>
      <c r="AC843" s="96"/>
      <c r="AD843" s="96"/>
      <c r="AE843" s="96"/>
      <c r="AF843" s="96"/>
      <c r="AG843" s="96"/>
      <c r="AH843" s="96"/>
      <c r="AI843" s="96"/>
      <c r="AJ843" s="96"/>
      <c r="AK843" s="96"/>
      <c r="AL843" s="96"/>
      <c r="AM843" s="96"/>
      <c r="AN843" s="96"/>
      <c r="AO843" s="96"/>
      <c r="AP843" s="96"/>
      <c r="AQ843" s="96"/>
      <c r="AR843" s="140"/>
      <c r="AS843" s="140"/>
    </row>
    <row r="844" spans="23:45">
      <c r="W844" s="96"/>
      <c r="X844" s="96"/>
      <c r="Y844" s="96"/>
      <c r="Z844" s="96"/>
      <c r="AA844" s="96"/>
      <c r="AB844" s="96"/>
      <c r="AC844" s="96"/>
      <c r="AD844" s="96"/>
      <c r="AE844" s="96"/>
      <c r="AF844" s="96"/>
      <c r="AG844" s="96"/>
      <c r="AH844" s="96"/>
      <c r="AI844" s="96"/>
      <c r="AJ844" s="96"/>
      <c r="AK844" s="96"/>
      <c r="AL844" s="96"/>
      <c r="AM844" s="96"/>
      <c r="AN844" s="96"/>
      <c r="AO844" s="96"/>
      <c r="AP844" s="96"/>
      <c r="AQ844" s="96"/>
      <c r="AR844" s="140"/>
      <c r="AS844" s="140"/>
    </row>
    <row r="845" spans="23:45">
      <c r="W845" s="96"/>
      <c r="X845" s="96"/>
      <c r="Y845" s="96"/>
      <c r="Z845" s="96"/>
      <c r="AA845" s="96"/>
      <c r="AB845" s="96"/>
      <c r="AC845" s="96"/>
      <c r="AD845" s="96"/>
      <c r="AE845" s="96"/>
      <c r="AF845" s="96"/>
      <c r="AG845" s="96"/>
      <c r="AH845" s="96"/>
      <c r="AI845" s="96"/>
      <c r="AJ845" s="96"/>
      <c r="AK845" s="96"/>
      <c r="AL845" s="96"/>
      <c r="AM845" s="96"/>
      <c r="AN845" s="96"/>
      <c r="AO845" s="96"/>
      <c r="AP845" s="96"/>
      <c r="AQ845" s="96"/>
      <c r="AR845" s="140"/>
      <c r="AS845" s="140"/>
    </row>
    <row r="846" spans="23:45">
      <c r="W846" s="96"/>
      <c r="X846" s="96"/>
      <c r="Y846" s="96"/>
      <c r="Z846" s="96"/>
      <c r="AA846" s="96"/>
      <c r="AB846" s="96"/>
      <c r="AC846" s="96"/>
      <c r="AD846" s="96"/>
      <c r="AE846" s="96"/>
      <c r="AF846" s="96"/>
      <c r="AG846" s="96"/>
      <c r="AH846" s="96"/>
      <c r="AI846" s="96"/>
      <c r="AJ846" s="96"/>
      <c r="AK846" s="96"/>
      <c r="AL846" s="96"/>
      <c r="AM846" s="96"/>
      <c r="AN846" s="96"/>
      <c r="AO846" s="96"/>
      <c r="AP846" s="96"/>
      <c r="AQ846" s="96"/>
      <c r="AR846" s="140"/>
      <c r="AS846" s="140"/>
    </row>
    <row r="847" spans="23:45">
      <c r="W847" s="96"/>
      <c r="X847" s="96"/>
      <c r="Y847" s="96"/>
      <c r="Z847" s="96"/>
      <c r="AA847" s="96"/>
      <c r="AB847" s="96"/>
      <c r="AC847" s="96"/>
      <c r="AD847" s="96"/>
      <c r="AE847" s="96"/>
      <c r="AF847" s="96"/>
      <c r="AG847" s="96"/>
      <c r="AH847" s="96"/>
      <c r="AI847" s="96"/>
      <c r="AJ847" s="96"/>
      <c r="AK847" s="96"/>
      <c r="AL847" s="96"/>
      <c r="AM847" s="96"/>
      <c r="AN847" s="96"/>
      <c r="AO847" s="96"/>
      <c r="AP847" s="96"/>
      <c r="AQ847" s="96"/>
      <c r="AR847" s="140"/>
      <c r="AS847" s="140"/>
    </row>
    <row r="848" spans="23:45">
      <c r="W848" s="96"/>
      <c r="X848" s="96"/>
      <c r="Y848" s="96"/>
      <c r="Z848" s="96"/>
      <c r="AA848" s="96"/>
      <c r="AB848" s="96"/>
      <c r="AC848" s="96"/>
      <c r="AD848" s="96"/>
      <c r="AE848" s="96"/>
      <c r="AF848" s="96"/>
      <c r="AG848" s="96"/>
      <c r="AH848" s="96"/>
      <c r="AI848" s="96"/>
      <c r="AJ848" s="96"/>
      <c r="AK848" s="96"/>
      <c r="AL848" s="96"/>
      <c r="AM848" s="96"/>
      <c r="AN848" s="96"/>
      <c r="AO848" s="96"/>
      <c r="AP848" s="96"/>
      <c r="AQ848" s="96"/>
      <c r="AR848" s="140"/>
      <c r="AS848" s="140"/>
    </row>
    <row r="849" spans="23:45">
      <c r="W849" s="96"/>
      <c r="X849" s="96"/>
      <c r="Y849" s="96"/>
      <c r="Z849" s="96"/>
      <c r="AA849" s="96"/>
      <c r="AB849" s="96"/>
      <c r="AC849" s="96"/>
      <c r="AD849" s="96"/>
      <c r="AE849" s="96"/>
      <c r="AF849" s="96"/>
      <c r="AG849" s="96"/>
      <c r="AH849" s="96"/>
      <c r="AI849" s="96"/>
      <c r="AJ849" s="96"/>
      <c r="AK849" s="96"/>
      <c r="AL849" s="96"/>
      <c r="AM849" s="96"/>
      <c r="AN849" s="96"/>
      <c r="AO849" s="96"/>
      <c r="AP849" s="96"/>
      <c r="AQ849" s="96"/>
      <c r="AR849" s="140"/>
      <c r="AS849" s="140"/>
    </row>
    <row r="850" spans="23:45">
      <c r="W850" s="96"/>
      <c r="X850" s="96"/>
      <c r="Y850" s="96"/>
      <c r="Z850" s="96"/>
      <c r="AA850" s="96"/>
      <c r="AB850" s="96"/>
      <c r="AC850" s="96"/>
      <c r="AD850" s="96"/>
      <c r="AE850" s="96"/>
      <c r="AF850" s="96"/>
      <c r="AG850" s="96"/>
      <c r="AH850" s="96"/>
      <c r="AI850" s="96"/>
      <c r="AJ850" s="96"/>
      <c r="AK850" s="96"/>
      <c r="AL850" s="96"/>
      <c r="AM850" s="96"/>
      <c r="AN850" s="96"/>
      <c r="AO850" s="96"/>
      <c r="AP850" s="96"/>
      <c r="AQ850" s="96"/>
      <c r="AR850" s="140"/>
      <c r="AS850" s="140"/>
    </row>
    <row r="851" spans="23:45">
      <c r="W851" s="96"/>
      <c r="X851" s="96"/>
      <c r="Y851" s="96"/>
      <c r="Z851" s="96"/>
      <c r="AA851" s="96"/>
      <c r="AB851" s="96"/>
      <c r="AC851" s="96"/>
      <c r="AD851" s="96"/>
      <c r="AE851" s="96"/>
      <c r="AF851" s="96"/>
      <c r="AG851" s="96"/>
      <c r="AH851" s="96"/>
      <c r="AI851" s="96"/>
      <c r="AJ851" s="96"/>
      <c r="AK851" s="96"/>
      <c r="AL851" s="96"/>
      <c r="AM851" s="96"/>
      <c r="AN851" s="96"/>
      <c r="AO851" s="96"/>
      <c r="AP851" s="96"/>
      <c r="AQ851" s="96"/>
      <c r="AR851" s="140"/>
      <c r="AS851" s="140"/>
    </row>
    <row r="852" spans="23:45">
      <c r="W852" s="96"/>
      <c r="X852" s="96"/>
      <c r="Y852" s="96"/>
      <c r="Z852" s="96"/>
      <c r="AA852" s="96"/>
      <c r="AB852" s="96"/>
      <c r="AC852" s="96"/>
      <c r="AD852" s="96"/>
      <c r="AE852" s="96"/>
      <c r="AF852" s="96"/>
      <c r="AG852" s="96"/>
      <c r="AH852" s="96"/>
      <c r="AI852" s="96"/>
      <c r="AJ852" s="96"/>
      <c r="AK852" s="96"/>
      <c r="AL852" s="96"/>
      <c r="AM852" s="96"/>
      <c r="AN852" s="96"/>
      <c r="AO852" s="96"/>
      <c r="AP852" s="96"/>
      <c r="AQ852" s="96"/>
      <c r="AR852" s="140"/>
      <c r="AS852" s="140"/>
    </row>
    <row r="853" spans="23:45">
      <c r="W853" s="96"/>
      <c r="X853" s="96"/>
      <c r="Y853" s="96"/>
      <c r="Z853" s="96"/>
      <c r="AA853" s="96"/>
      <c r="AB853" s="96"/>
      <c r="AC853" s="96"/>
      <c r="AD853" s="96"/>
      <c r="AE853" s="96"/>
      <c r="AF853" s="96"/>
      <c r="AG853" s="96"/>
      <c r="AH853" s="96"/>
      <c r="AI853" s="96"/>
      <c r="AJ853" s="96"/>
      <c r="AK853" s="96"/>
      <c r="AL853" s="96"/>
      <c r="AM853" s="96"/>
      <c r="AN853" s="96"/>
      <c r="AO853" s="96"/>
      <c r="AP853" s="96"/>
      <c r="AQ853" s="96"/>
      <c r="AR853" s="140"/>
      <c r="AS853" s="140"/>
    </row>
    <row r="854" spans="23:45">
      <c r="W854" s="96"/>
      <c r="X854" s="96"/>
      <c r="Y854" s="96"/>
      <c r="Z854" s="96"/>
      <c r="AA854" s="96"/>
      <c r="AB854" s="96"/>
      <c r="AC854" s="96"/>
      <c r="AD854" s="96"/>
      <c r="AE854" s="96"/>
      <c r="AF854" s="96"/>
      <c r="AG854" s="96"/>
      <c r="AH854" s="96"/>
      <c r="AI854" s="96"/>
      <c r="AJ854" s="96"/>
      <c r="AK854" s="96"/>
      <c r="AL854" s="96"/>
      <c r="AM854" s="96"/>
      <c r="AN854" s="96"/>
      <c r="AO854" s="96"/>
      <c r="AP854" s="96"/>
      <c r="AQ854" s="96"/>
      <c r="AR854" s="140"/>
      <c r="AS854" s="140"/>
    </row>
    <row r="855" spans="23:45">
      <c r="W855" s="96"/>
      <c r="X855" s="96"/>
      <c r="Y855" s="96"/>
      <c r="Z855" s="96"/>
      <c r="AA855" s="96"/>
      <c r="AB855" s="96"/>
      <c r="AC855" s="96"/>
      <c r="AD855" s="96"/>
      <c r="AE855" s="96"/>
      <c r="AF855" s="96"/>
      <c r="AG855" s="96"/>
      <c r="AH855" s="96"/>
      <c r="AI855" s="96"/>
      <c r="AJ855" s="96"/>
      <c r="AK855" s="96"/>
      <c r="AL855" s="96"/>
      <c r="AM855" s="96"/>
      <c r="AN855" s="96"/>
      <c r="AO855" s="96"/>
      <c r="AP855" s="96"/>
      <c r="AQ855" s="96"/>
      <c r="AR855" s="140"/>
      <c r="AS855" s="140"/>
    </row>
    <row r="856" spans="23:45">
      <c r="W856" s="96"/>
      <c r="X856" s="96"/>
      <c r="Y856" s="96"/>
      <c r="Z856" s="96"/>
      <c r="AA856" s="96"/>
      <c r="AB856" s="96"/>
      <c r="AC856" s="96"/>
      <c r="AD856" s="96"/>
      <c r="AE856" s="96"/>
      <c r="AF856" s="96"/>
      <c r="AG856" s="96"/>
      <c r="AH856" s="96"/>
      <c r="AI856" s="96"/>
      <c r="AJ856" s="96"/>
      <c r="AK856" s="96"/>
      <c r="AL856" s="96"/>
      <c r="AM856" s="96"/>
      <c r="AN856" s="96"/>
      <c r="AO856" s="96"/>
      <c r="AP856" s="96"/>
      <c r="AQ856" s="96"/>
      <c r="AR856" s="140"/>
      <c r="AS856" s="140"/>
    </row>
    <row r="857" spans="23:45">
      <c r="W857" s="96"/>
      <c r="X857" s="96"/>
      <c r="Y857" s="96"/>
      <c r="Z857" s="96"/>
      <c r="AA857" s="96"/>
      <c r="AB857" s="96"/>
      <c r="AC857" s="96"/>
      <c r="AD857" s="96"/>
      <c r="AE857" s="96"/>
      <c r="AF857" s="96"/>
      <c r="AG857" s="96"/>
      <c r="AH857" s="96"/>
      <c r="AI857" s="96"/>
      <c r="AJ857" s="96"/>
      <c r="AK857" s="96"/>
      <c r="AL857" s="96"/>
      <c r="AM857" s="96"/>
      <c r="AN857" s="96"/>
      <c r="AO857" s="96"/>
      <c r="AP857" s="96"/>
      <c r="AQ857" s="96"/>
      <c r="AR857" s="140"/>
      <c r="AS857" s="140"/>
    </row>
    <row r="858" spans="23:45">
      <c r="W858" s="96"/>
      <c r="X858" s="96"/>
      <c r="Y858" s="96"/>
      <c r="Z858" s="96"/>
      <c r="AA858" s="96"/>
      <c r="AB858" s="96"/>
      <c r="AC858" s="96"/>
      <c r="AD858" s="96"/>
      <c r="AE858" s="96"/>
      <c r="AF858" s="96"/>
      <c r="AG858" s="96"/>
      <c r="AH858" s="96"/>
      <c r="AI858" s="96"/>
      <c r="AJ858" s="96"/>
      <c r="AK858" s="96"/>
      <c r="AL858" s="96"/>
      <c r="AM858" s="96"/>
      <c r="AN858" s="96"/>
      <c r="AO858" s="96"/>
      <c r="AP858" s="96"/>
      <c r="AQ858" s="96"/>
      <c r="AR858" s="140"/>
      <c r="AS858" s="140"/>
    </row>
    <row r="859" spans="23:45">
      <c r="W859" s="96"/>
      <c r="X859" s="96"/>
      <c r="Y859" s="96"/>
      <c r="Z859" s="96"/>
      <c r="AA859" s="96"/>
      <c r="AB859" s="96"/>
      <c r="AC859" s="96"/>
      <c r="AD859" s="96"/>
      <c r="AE859" s="96"/>
      <c r="AF859" s="96"/>
      <c r="AG859" s="96"/>
      <c r="AH859" s="96"/>
      <c r="AI859" s="96"/>
      <c r="AJ859" s="96"/>
      <c r="AK859" s="96"/>
      <c r="AL859" s="96"/>
      <c r="AM859" s="96"/>
      <c r="AN859" s="96"/>
      <c r="AO859" s="96"/>
      <c r="AP859" s="96"/>
      <c r="AQ859" s="96"/>
      <c r="AR859" s="140"/>
      <c r="AS859" s="140"/>
    </row>
    <row r="860" spans="23:45">
      <c r="W860" s="96"/>
      <c r="X860" s="96"/>
      <c r="Y860" s="96"/>
      <c r="Z860" s="96"/>
      <c r="AA860" s="96"/>
      <c r="AB860" s="96"/>
      <c r="AC860" s="96"/>
      <c r="AD860" s="96"/>
      <c r="AE860" s="96"/>
      <c r="AF860" s="96"/>
      <c r="AG860" s="96"/>
      <c r="AH860" s="96"/>
      <c r="AI860" s="96"/>
      <c r="AJ860" s="96"/>
      <c r="AK860" s="96"/>
      <c r="AL860" s="96"/>
      <c r="AM860" s="96"/>
      <c r="AN860" s="96"/>
      <c r="AO860" s="96"/>
      <c r="AP860" s="96"/>
      <c r="AQ860" s="96"/>
      <c r="AR860" s="140"/>
      <c r="AS860" s="140"/>
    </row>
    <row r="861" spans="23:45">
      <c r="W861" s="96"/>
      <c r="X861" s="96"/>
      <c r="Y861" s="96"/>
      <c r="Z861" s="96"/>
      <c r="AA861" s="96"/>
      <c r="AB861" s="96"/>
      <c r="AC861" s="96"/>
      <c r="AD861" s="96"/>
      <c r="AE861" s="96"/>
      <c r="AF861" s="96"/>
      <c r="AG861" s="96"/>
      <c r="AH861" s="96"/>
      <c r="AI861" s="96"/>
      <c r="AJ861" s="96"/>
      <c r="AK861" s="96"/>
      <c r="AL861" s="96"/>
      <c r="AM861" s="96"/>
      <c r="AN861" s="96"/>
      <c r="AO861" s="96"/>
      <c r="AP861" s="96"/>
      <c r="AQ861" s="96"/>
      <c r="AR861" s="140"/>
      <c r="AS861" s="140"/>
    </row>
    <row r="862" spans="23:45">
      <c r="W862" s="96"/>
      <c r="X862" s="96"/>
      <c r="Y862" s="96"/>
      <c r="Z862" s="96"/>
      <c r="AA862" s="96"/>
      <c r="AB862" s="96"/>
      <c r="AC862" s="96"/>
      <c r="AD862" s="96"/>
      <c r="AE862" s="96"/>
      <c r="AF862" s="96"/>
      <c r="AG862" s="96"/>
      <c r="AH862" s="96"/>
      <c r="AI862" s="96"/>
      <c r="AJ862" s="96"/>
      <c r="AK862" s="96"/>
      <c r="AL862" s="96"/>
      <c r="AM862" s="96"/>
      <c r="AN862" s="96"/>
      <c r="AO862" s="96"/>
      <c r="AP862" s="96"/>
      <c r="AQ862" s="96"/>
      <c r="AR862" s="140"/>
      <c r="AS862" s="140"/>
    </row>
    <row r="863" spans="23:45">
      <c r="W863" s="96"/>
      <c r="X863" s="96"/>
      <c r="Y863" s="96"/>
      <c r="Z863" s="96"/>
      <c r="AA863" s="96"/>
      <c r="AB863" s="96"/>
      <c r="AC863" s="96"/>
      <c r="AD863" s="96"/>
      <c r="AE863" s="96"/>
      <c r="AF863" s="96"/>
      <c r="AG863" s="96"/>
      <c r="AH863" s="96"/>
      <c r="AI863" s="96"/>
      <c r="AJ863" s="96"/>
      <c r="AK863" s="96"/>
      <c r="AL863" s="96"/>
      <c r="AM863" s="96"/>
      <c r="AN863" s="96"/>
      <c r="AO863" s="96"/>
      <c r="AP863" s="96"/>
      <c r="AQ863" s="96"/>
      <c r="AR863" s="140"/>
      <c r="AS863" s="140"/>
    </row>
    <row r="864" spans="23:45">
      <c r="W864" s="96"/>
      <c r="X864" s="96"/>
      <c r="Y864" s="96"/>
      <c r="Z864" s="96"/>
      <c r="AA864" s="96"/>
      <c r="AB864" s="96"/>
      <c r="AC864" s="96"/>
      <c r="AD864" s="96"/>
      <c r="AE864" s="96"/>
      <c r="AF864" s="96"/>
      <c r="AG864" s="96"/>
      <c r="AH864" s="96"/>
      <c r="AI864" s="96"/>
      <c r="AJ864" s="96"/>
      <c r="AK864" s="96"/>
      <c r="AL864" s="96"/>
      <c r="AM864" s="96"/>
      <c r="AN864" s="96"/>
      <c r="AO864" s="96"/>
      <c r="AP864" s="96"/>
      <c r="AQ864" s="96"/>
      <c r="AR864" s="140"/>
      <c r="AS864" s="140"/>
    </row>
    <row r="865" spans="23:45">
      <c r="W865" s="96"/>
      <c r="X865" s="96"/>
      <c r="Y865" s="96"/>
      <c r="Z865" s="96"/>
      <c r="AA865" s="96"/>
      <c r="AB865" s="96"/>
      <c r="AC865" s="96"/>
      <c r="AD865" s="96"/>
      <c r="AE865" s="96"/>
      <c r="AF865" s="96"/>
      <c r="AG865" s="96"/>
      <c r="AH865" s="96"/>
      <c r="AI865" s="96"/>
      <c r="AJ865" s="96"/>
      <c r="AK865" s="96"/>
      <c r="AL865" s="96"/>
      <c r="AM865" s="96"/>
      <c r="AN865" s="96"/>
      <c r="AO865" s="96"/>
      <c r="AP865" s="96"/>
      <c r="AQ865" s="96"/>
      <c r="AR865" s="140"/>
      <c r="AS865" s="140"/>
    </row>
    <row r="866" spans="23:45">
      <c r="W866" s="96"/>
      <c r="X866" s="96"/>
      <c r="Y866" s="96"/>
      <c r="Z866" s="96"/>
      <c r="AA866" s="96"/>
      <c r="AB866" s="96"/>
      <c r="AC866" s="96"/>
      <c r="AD866" s="96"/>
      <c r="AE866" s="96"/>
      <c r="AF866" s="96"/>
      <c r="AG866" s="96"/>
      <c r="AH866" s="96"/>
      <c r="AI866" s="96"/>
      <c r="AJ866" s="96"/>
      <c r="AK866" s="96"/>
      <c r="AL866" s="96"/>
      <c r="AM866" s="96"/>
      <c r="AN866" s="96"/>
      <c r="AO866" s="96"/>
      <c r="AP866" s="96"/>
      <c r="AQ866" s="96"/>
      <c r="AR866" s="140"/>
      <c r="AS866" s="140"/>
    </row>
    <row r="867" spans="23:45">
      <c r="W867" s="96"/>
      <c r="X867" s="96"/>
      <c r="Y867" s="96"/>
      <c r="Z867" s="96"/>
      <c r="AA867" s="96"/>
      <c r="AB867" s="96"/>
      <c r="AC867" s="96"/>
      <c r="AD867" s="96"/>
      <c r="AE867" s="96"/>
      <c r="AF867" s="96"/>
      <c r="AG867" s="96"/>
      <c r="AH867" s="96"/>
      <c r="AI867" s="96"/>
      <c r="AJ867" s="96"/>
      <c r="AK867" s="96"/>
      <c r="AL867" s="96"/>
      <c r="AM867" s="96"/>
      <c r="AN867" s="96"/>
      <c r="AO867" s="96"/>
      <c r="AP867" s="96"/>
      <c r="AQ867" s="96"/>
      <c r="AR867" s="140"/>
      <c r="AS867" s="140"/>
    </row>
    <row r="868" spans="23:45">
      <c r="W868" s="96"/>
      <c r="X868" s="96"/>
      <c r="Y868" s="96"/>
      <c r="Z868" s="96"/>
      <c r="AA868" s="96"/>
      <c r="AB868" s="96"/>
      <c r="AC868" s="96"/>
      <c r="AD868" s="96"/>
      <c r="AE868" s="96"/>
      <c r="AF868" s="96"/>
      <c r="AG868" s="96"/>
      <c r="AH868" s="96"/>
      <c r="AI868" s="96"/>
      <c r="AJ868" s="96"/>
      <c r="AK868" s="96"/>
      <c r="AL868" s="96"/>
      <c r="AM868" s="96"/>
      <c r="AN868" s="96"/>
      <c r="AO868" s="96"/>
      <c r="AP868" s="96"/>
      <c r="AQ868" s="96"/>
      <c r="AR868" s="140"/>
      <c r="AS868" s="140"/>
    </row>
    <row r="869" spans="23:45">
      <c r="W869" s="96"/>
      <c r="X869" s="96"/>
      <c r="Y869" s="96"/>
      <c r="Z869" s="96"/>
      <c r="AA869" s="96"/>
      <c r="AB869" s="96"/>
      <c r="AC869" s="96"/>
      <c r="AD869" s="96"/>
      <c r="AE869" s="96"/>
      <c r="AF869" s="96"/>
      <c r="AG869" s="96"/>
      <c r="AH869" s="96"/>
      <c r="AI869" s="96"/>
      <c r="AJ869" s="96"/>
      <c r="AK869" s="96"/>
      <c r="AL869" s="96"/>
      <c r="AM869" s="96"/>
      <c r="AN869" s="96"/>
      <c r="AO869" s="96"/>
      <c r="AP869" s="96"/>
      <c r="AQ869" s="96"/>
      <c r="AR869" s="140"/>
      <c r="AS869" s="140"/>
    </row>
    <row r="870" spans="23:45">
      <c r="W870" s="96"/>
      <c r="X870" s="96"/>
      <c r="Y870" s="96"/>
      <c r="Z870" s="96"/>
      <c r="AA870" s="96"/>
      <c r="AB870" s="96"/>
      <c r="AC870" s="96"/>
      <c r="AD870" s="96"/>
      <c r="AE870" s="96"/>
      <c r="AF870" s="96"/>
      <c r="AG870" s="96"/>
      <c r="AH870" s="96"/>
      <c r="AI870" s="96"/>
      <c r="AJ870" s="96"/>
      <c r="AK870" s="96"/>
      <c r="AL870" s="96"/>
      <c r="AM870" s="96"/>
      <c r="AN870" s="96"/>
      <c r="AO870" s="96"/>
      <c r="AP870" s="96"/>
      <c r="AQ870" s="96"/>
      <c r="AR870" s="140"/>
      <c r="AS870" s="140"/>
    </row>
    <row r="871" spans="23:45">
      <c r="W871" s="96"/>
      <c r="X871" s="96"/>
      <c r="Y871" s="96"/>
      <c r="Z871" s="96"/>
      <c r="AA871" s="96"/>
      <c r="AB871" s="96"/>
      <c r="AC871" s="96"/>
      <c r="AD871" s="96"/>
      <c r="AE871" s="96"/>
      <c r="AF871" s="96"/>
      <c r="AG871" s="96"/>
      <c r="AH871" s="96"/>
      <c r="AI871" s="96"/>
      <c r="AJ871" s="96"/>
      <c r="AK871" s="96"/>
      <c r="AL871" s="96"/>
      <c r="AM871" s="96"/>
      <c r="AN871" s="96"/>
      <c r="AO871" s="96"/>
      <c r="AP871" s="96"/>
      <c r="AQ871" s="96"/>
      <c r="AR871" s="140"/>
      <c r="AS871" s="140"/>
    </row>
    <row r="872" spans="23:45">
      <c r="W872" s="96"/>
      <c r="X872" s="96"/>
      <c r="Y872" s="96"/>
      <c r="Z872" s="96"/>
      <c r="AA872" s="96"/>
      <c r="AB872" s="96"/>
      <c r="AC872" s="96"/>
      <c r="AD872" s="96"/>
      <c r="AE872" s="96"/>
      <c r="AF872" s="96"/>
      <c r="AG872" s="96"/>
      <c r="AH872" s="96"/>
      <c r="AI872" s="96"/>
      <c r="AJ872" s="96"/>
      <c r="AK872" s="96"/>
      <c r="AL872" s="96"/>
      <c r="AM872" s="96"/>
      <c r="AN872" s="96"/>
      <c r="AO872" s="96"/>
      <c r="AP872" s="96"/>
      <c r="AQ872" s="96"/>
      <c r="AR872" s="140"/>
      <c r="AS872" s="140"/>
    </row>
    <row r="873" spans="23:45">
      <c r="W873" s="96"/>
      <c r="X873" s="96"/>
      <c r="Y873" s="96"/>
      <c r="Z873" s="96"/>
      <c r="AA873" s="96"/>
      <c r="AB873" s="96"/>
      <c r="AC873" s="96"/>
      <c r="AD873" s="96"/>
      <c r="AE873" s="96"/>
      <c r="AF873" s="96"/>
      <c r="AG873" s="96"/>
      <c r="AH873" s="96"/>
      <c r="AI873" s="96"/>
      <c r="AJ873" s="96"/>
      <c r="AK873" s="96"/>
      <c r="AL873" s="96"/>
      <c r="AM873" s="96"/>
      <c r="AN873" s="96"/>
      <c r="AO873" s="96"/>
      <c r="AP873" s="96"/>
      <c r="AQ873" s="96"/>
      <c r="AR873" s="140"/>
      <c r="AS873" s="140"/>
    </row>
    <row r="874" spans="23:45">
      <c r="W874" s="96"/>
      <c r="X874" s="96"/>
      <c r="Y874" s="96"/>
      <c r="Z874" s="96"/>
      <c r="AA874" s="96"/>
      <c r="AB874" s="96"/>
      <c r="AC874" s="96"/>
      <c r="AD874" s="96"/>
      <c r="AE874" s="96"/>
      <c r="AF874" s="96"/>
      <c r="AG874" s="96"/>
      <c r="AH874" s="96"/>
      <c r="AI874" s="96"/>
      <c r="AJ874" s="96"/>
      <c r="AK874" s="96"/>
      <c r="AL874" s="96"/>
      <c r="AM874" s="96"/>
      <c r="AN874" s="96"/>
      <c r="AO874" s="96"/>
      <c r="AP874" s="96"/>
      <c r="AQ874" s="96"/>
      <c r="AR874" s="140"/>
      <c r="AS874" s="140"/>
    </row>
    <row r="875" spans="23:45">
      <c r="W875" s="96"/>
      <c r="X875" s="96"/>
      <c r="Y875" s="96"/>
      <c r="Z875" s="96"/>
      <c r="AA875" s="96"/>
      <c r="AB875" s="96"/>
      <c r="AC875" s="96"/>
      <c r="AD875" s="96"/>
      <c r="AE875" s="96"/>
      <c r="AF875" s="96"/>
      <c r="AG875" s="96"/>
      <c r="AH875" s="96"/>
      <c r="AI875" s="96"/>
      <c r="AJ875" s="96"/>
      <c r="AK875" s="96"/>
      <c r="AL875" s="96"/>
      <c r="AM875" s="96"/>
      <c r="AN875" s="96"/>
      <c r="AO875" s="96"/>
      <c r="AP875" s="96"/>
      <c r="AQ875" s="96"/>
      <c r="AR875" s="140"/>
      <c r="AS875" s="140"/>
    </row>
    <row r="876" spans="23:45">
      <c r="W876" s="96"/>
      <c r="X876" s="96"/>
      <c r="Y876" s="96"/>
      <c r="Z876" s="96"/>
      <c r="AA876" s="96"/>
      <c r="AB876" s="96"/>
      <c r="AC876" s="96"/>
      <c r="AD876" s="96"/>
      <c r="AE876" s="96"/>
      <c r="AF876" s="96"/>
      <c r="AG876" s="96"/>
      <c r="AH876" s="96"/>
      <c r="AI876" s="96"/>
      <c r="AJ876" s="96"/>
      <c r="AK876" s="96"/>
      <c r="AL876" s="96"/>
      <c r="AM876" s="96"/>
      <c r="AN876" s="96"/>
      <c r="AO876" s="96"/>
      <c r="AP876" s="96"/>
      <c r="AQ876" s="96"/>
      <c r="AR876" s="140"/>
      <c r="AS876" s="140"/>
    </row>
    <row r="877" spans="23:45">
      <c r="W877" s="96"/>
      <c r="X877" s="96"/>
      <c r="Y877" s="96"/>
      <c r="Z877" s="96"/>
      <c r="AA877" s="96"/>
      <c r="AB877" s="96"/>
      <c r="AC877" s="96"/>
      <c r="AD877" s="96"/>
      <c r="AE877" s="96"/>
      <c r="AF877" s="96"/>
      <c r="AG877" s="96"/>
      <c r="AH877" s="96"/>
      <c r="AI877" s="96"/>
      <c r="AJ877" s="96"/>
      <c r="AK877" s="96"/>
      <c r="AL877" s="96"/>
      <c r="AM877" s="96"/>
      <c r="AN877" s="96"/>
      <c r="AO877" s="96"/>
      <c r="AP877" s="96"/>
      <c r="AQ877" s="96"/>
      <c r="AR877" s="140"/>
      <c r="AS877" s="140"/>
    </row>
    <row r="878" spans="23:45">
      <c r="W878" s="96"/>
      <c r="X878" s="96"/>
      <c r="Y878" s="96"/>
      <c r="Z878" s="96"/>
      <c r="AA878" s="96"/>
      <c r="AB878" s="96"/>
      <c r="AC878" s="96"/>
      <c r="AD878" s="96"/>
      <c r="AE878" s="96"/>
      <c r="AF878" s="96"/>
      <c r="AG878" s="96"/>
      <c r="AH878" s="96"/>
      <c r="AI878" s="96"/>
      <c r="AJ878" s="96"/>
      <c r="AK878" s="96"/>
      <c r="AL878" s="96"/>
      <c r="AM878" s="96"/>
      <c r="AN878" s="96"/>
      <c r="AO878" s="96"/>
      <c r="AP878" s="96"/>
      <c r="AQ878" s="96"/>
      <c r="AR878" s="140"/>
      <c r="AS878" s="140"/>
    </row>
    <row r="879" spans="23:45">
      <c r="W879" s="96"/>
      <c r="X879" s="96"/>
      <c r="Y879" s="96"/>
      <c r="Z879" s="96"/>
      <c r="AA879" s="96"/>
      <c r="AB879" s="96"/>
      <c r="AC879" s="96"/>
      <c r="AD879" s="96"/>
      <c r="AE879" s="96"/>
      <c r="AF879" s="96"/>
      <c r="AG879" s="96"/>
      <c r="AH879" s="96"/>
      <c r="AI879" s="96"/>
      <c r="AJ879" s="96"/>
      <c r="AK879" s="96"/>
      <c r="AL879" s="96"/>
      <c r="AM879" s="96"/>
      <c r="AN879" s="96"/>
      <c r="AO879" s="96"/>
      <c r="AP879" s="96"/>
      <c r="AQ879" s="96"/>
      <c r="AR879" s="140"/>
      <c r="AS879" s="140"/>
    </row>
    <row r="880" spans="23:45">
      <c r="W880" s="96"/>
      <c r="X880" s="96"/>
      <c r="Y880" s="96"/>
      <c r="Z880" s="96"/>
      <c r="AA880" s="96"/>
      <c r="AB880" s="96"/>
      <c r="AC880" s="96"/>
      <c r="AD880" s="96"/>
      <c r="AE880" s="96"/>
      <c r="AF880" s="96"/>
      <c r="AG880" s="96"/>
      <c r="AH880" s="96"/>
      <c r="AI880" s="96"/>
      <c r="AJ880" s="96"/>
      <c r="AK880" s="96"/>
      <c r="AL880" s="96"/>
      <c r="AM880" s="96"/>
      <c r="AN880" s="96"/>
      <c r="AO880" s="96"/>
      <c r="AP880" s="96"/>
      <c r="AQ880" s="96"/>
      <c r="AR880" s="140"/>
      <c r="AS880" s="140"/>
    </row>
    <row r="881" spans="23:45">
      <c r="W881" s="96"/>
      <c r="X881" s="96"/>
      <c r="Y881" s="96"/>
      <c r="Z881" s="96"/>
      <c r="AA881" s="96"/>
      <c r="AB881" s="96"/>
      <c r="AC881" s="96"/>
      <c r="AD881" s="96"/>
      <c r="AE881" s="96"/>
      <c r="AF881" s="96"/>
      <c r="AG881" s="96"/>
      <c r="AH881" s="96"/>
      <c r="AI881" s="96"/>
      <c r="AJ881" s="96"/>
      <c r="AK881" s="96"/>
      <c r="AL881" s="96"/>
      <c r="AM881" s="96"/>
      <c r="AN881" s="96"/>
      <c r="AO881" s="96"/>
      <c r="AP881" s="96"/>
      <c r="AQ881" s="96"/>
      <c r="AR881" s="140"/>
      <c r="AS881" s="140"/>
    </row>
    <row r="882" spans="23:45">
      <c r="W882" s="96"/>
      <c r="X882" s="96"/>
      <c r="Y882" s="96"/>
      <c r="Z882" s="96"/>
      <c r="AA882" s="96"/>
      <c r="AB882" s="96"/>
      <c r="AC882" s="96"/>
      <c r="AD882" s="96"/>
      <c r="AE882" s="96"/>
      <c r="AF882" s="96"/>
      <c r="AG882" s="96"/>
      <c r="AH882" s="96"/>
      <c r="AI882" s="96"/>
      <c r="AJ882" s="96"/>
      <c r="AK882" s="96"/>
      <c r="AL882" s="96"/>
      <c r="AM882" s="96"/>
      <c r="AN882" s="96"/>
      <c r="AO882" s="96"/>
      <c r="AP882" s="96"/>
      <c r="AQ882" s="96"/>
      <c r="AR882" s="140"/>
      <c r="AS882" s="140"/>
    </row>
    <row r="883" spans="23:45">
      <c r="W883" s="96"/>
      <c r="X883" s="96"/>
      <c r="Y883" s="96"/>
      <c r="Z883" s="96"/>
      <c r="AA883" s="96"/>
      <c r="AB883" s="96"/>
      <c r="AC883" s="96"/>
      <c r="AD883" s="96"/>
      <c r="AE883" s="96"/>
      <c r="AF883" s="96"/>
      <c r="AG883" s="96"/>
      <c r="AH883" s="96"/>
      <c r="AI883" s="96"/>
      <c r="AJ883" s="96"/>
      <c r="AK883" s="96"/>
      <c r="AL883" s="96"/>
      <c r="AM883" s="96"/>
      <c r="AN883" s="96"/>
      <c r="AO883" s="96"/>
      <c r="AP883" s="96"/>
      <c r="AQ883" s="96"/>
      <c r="AR883" s="140"/>
      <c r="AS883" s="140"/>
    </row>
    <row r="884" spans="23:45">
      <c r="W884" s="96"/>
      <c r="X884" s="96"/>
      <c r="Y884" s="96"/>
      <c r="Z884" s="96"/>
      <c r="AA884" s="96"/>
      <c r="AB884" s="96"/>
      <c r="AC884" s="96"/>
      <c r="AD884" s="96"/>
      <c r="AE884" s="96"/>
      <c r="AF884" s="96"/>
      <c r="AG884" s="96"/>
      <c r="AH884" s="96"/>
      <c r="AI884" s="96"/>
      <c r="AJ884" s="96"/>
      <c r="AK884" s="96"/>
      <c r="AL884" s="96"/>
      <c r="AM884" s="96"/>
      <c r="AN884" s="96"/>
      <c r="AO884" s="96"/>
      <c r="AP884" s="96"/>
      <c r="AQ884" s="96"/>
      <c r="AR884" s="140"/>
      <c r="AS884" s="140"/>
    </row>
    <row r="885" spans="23:45">
      <c r="W885" s="96"/>
      <c r="X885" s="96"/>
      <c r="Y885" s="96"/>
      <c r="Z885" s="96"/>
      <c r="AA885" s="96"/>
      <c r="AB885" s="96"/>
      <c r="AC885" s="96"/>
      <c r="AD885" s="96"/>
      <c r="AE885" s="96"/>
      <c r="AF885" s="96"/>
      <c r="AG885" s="96"/>
      <c r="AH885" s="96"/>
      <c r="AI885" s="96"/>
      <c r="AJ885" s="96"/>
      <c r="AK885" s="96"/>
      <c r="AL885" s="96"/>
      <c r="AM885" s="96"/>
      <c r="AN885" s="96"/>
      <c r="AO885" s="96"/>
      <c r="AP885" s="96"/>
      <c r="AQ885" s="96"/>
      <c r="AR885" s="140"/>
      <c r="AS885" s="140"/>
    </row>
    <row r="886" spans="23:45">
      <c r="W886" s="96"/>
      <c r="X886" s="96"/>
      <c r="Y886" s="96"/>
      <c r="Z886" s="96"/>
      <c r="AA886" s="96"/>
      <c r="AB886" s="96"/>
      <c r="AC886" s="96"/>
      <c r="AD886" s="96"/>
      <c r="AE886" s="96"/>
      <c r="AF886" s="96"/>
      <c r="AG886" s="96"/>
      <c r="AH886" s="96"/>
      <c r="AI886" s="96"/>
      <c r="AJ886" s="96"/>
      <c r="AK886" s="96"/>
      <c r="AL886" s="96"/>
      <c r="AM886" s="96"/>
      <c r="AN886" s="96"/>
      <c r="AO886" s="96"/>
      <c r="AP886" s="96"/>
      <c r="AQ886" s="96"/>
      <c r="AR886" s="140"/>
      <c r="AS886" s="140"/>
    </row>
    <row r="887" spans="23:45">
      <c r="W887" s="96"/>
      <c r="X887" s="96"/>
      <c r="Y887" s="96"/>
      <c r="Z887" s="96"/>
      <c r="AA887" s="96"/>
      <c r="AB887" s="96"/>
      <c r="AC887" s="96"/>
      <c r="AD887" s="96"/>
      <c r="AE887" s="96"/>
      <c r="AF887" s="96"/>
      <c r="AG887" s="96"/>
      <c r="AH887" s="96"/>
      <c r="AI887" s="96"/>
      <c r="AJ887" s="96"/>
      <c r="AK887" s="96"/>
      <c r="AL887" s="96"/>
      <c r="AM887" s="96"/>
      <c r="AN887" s="96"/>
      <c r="AO887" s="96"/>
      <c r="AP887" s="96"/>
      <c r="AQ887" s="96"/>
      <c r="AR887" s="140"/>
      <c r="AS887" s="140"/>
    </row>
    <row r="888" spans="23:45">
      <c r="W888" s="96"/>
      <c r="X888" s="96"/>
      <c r="Y888" s="96"/>
      <c r="Z888" s="96"/>
      <c r="AA888" s="96"/>
      <c r="AB888" s="96"/>
      <c r="AC888" s="96"/>
      <c r="AD888" s="96"/>
      <c r="AE888" s="96"/>
      <c r="AF888" s="96"/>
      <c r="AG888" s="96"/>
      <c r="AH888" s="96"/>
      <c r="AI888" s="96"/>
      <c r="AJ888" s="96"/>
      <c r="AK888" s="96"/>
      <c r="AL888" s="96"/>
      <c r="AM888" s="96"/>
      <c r="AN888" s="96"/>
      <c r="AO888" s="96"/>
      <c r="AP888" s="96"/>
      <c r="AQ888" s="96"/>
      <c r="AR888" s="140"/>
      <c r="AS888" s="140"/>
    </row>
    <row r="889" spans="23:45">
      <c r="W889" s="96"/>
      <c r="X889" s="96"/>
      <c r="Y889" s="96"/>
      <c r="Z889" s="96"/>
      <c r="AA889" s="96"/>
      <c r="AB889" s="96"/>
      <c r="AC889" s="96"/>
      <c r="AD889" s="96"/>
      <c r="AE889" s="96"/>
      <c r="AF889" s="96"/>
      <c r="AG889" s="96"/>
      <c r="AH889" s="96"/>
      <c r="AI889" s="96"/>
      <c r="AJ889" s="96"/>
      <c r="AK889" s="96"/>
      <c r="AL889" s="96"/>
      <c r="AM889" s="96"/>
      <c r="AN889" s="96"/>
      <c r="AO889" s="96"/>
      <c r="AP889" s="96"/>
      <c r="AQ889" s="96"/>
      <c r="AR889" s="140"/>
      <c r="AS889" s="140"/>
    </row>
    <row r="890" spans="23:45">
      <c r="W890" s="96"/>
      <c r="X890" s="96"/>
      <c r="Y890" s="96"/>
      <c r="Z890" s="96"/>
      <c r="AA890" s="96"/>
      <c r="AB890" s="96"/>
      <c r="AC890" s="96"/>
      <c r="AD890" s="96"/>
      <c r="AE890" s="96"/>
      <c r="AF890" s="96"/>
      <c r="AG890" s="96"/>
      <c r="AH890" s="96"/>
      <c r="AI890" s="96"/>
      <c r="AJ890" s="96"/>
      <c r="AK890" s="96"/>
      <c r="AL890" s="96"/>
      <c r="AM890" s="96"/>
      <c r="AN890" s="96"/>
      <c r="AO890" s="96"/>
      <c r="AP890" s="96"/>
      <c r="AQ890" s="96"/>
      <c r="AR890" s="140"/>
      <c r="AS890" s="140"/>
    </row>
    <row r="891" spans="23:45">
      <c r="W891" s="96"/>
      <c r="X891" s="96"/>
      <c r="Y891" s="96"/>
      <c r="Z891" s="96"/>
      <c r="AA891" s="96"/>
      <c r="AB891" s="96"/>
      <c r="AC891" s="96"/>
      <c r="AD891" s="96"/>
      <c r="AE891" s="96"/>
      <c r="AF891" s="96"/>
      <c r="AG891" s="96"/>
      <c r="AH891" s="96"/>
      <c r="AI891" s="96"/>
      <c r="AJ891" s="96"/>
      <c r="AK891" s="96"/>
      <c r="AL891" s="96"/>
      <c r="AM891" s="96"/>
      <c r="AN891" s="96"/>
      <c r="AO891" s="96"/>
      <c r="AP891" s="96"/>
      <c r="AQ891" s="96"/>
      <c r="AR891" s="140"/>
      <c r="AS891" s="140"/>
    </row>
    <row r="892" spans="23:45">
      <c r="W892" s="96"/>
      <c r="X892" s="96"/>
      <c r="Y892" s="96"/>
      <c r="Z892" s="96"/>
      <c r="AA892" s="96"/>
      <c r="AB892" s="96"/>
      <c r="AC892" s="96"/>
      <c r="AD892" s="96"/>
      <c r="AE892" s="96"/>
      <c r="AF892" s="96"/>
      <c r="AG892" s="96"/>
      <c r="AH892" s="96"/>
      <c r="AI892" s="96"/>
      <c r="AJ892" s="96"/>
      <c r="AK892" s="96"/>
      <c r="AL892" s="96"/>
      <c r="AM892" s="96"/>
      <c r="AN892" s="96"/>
      <c r="AO892" s="96"/>
      <c r="AP892" s="96"/>
      <c r="AQ892" s="96"/>
      <c r="AR892" s="140"/>
      <c r="AS892" s="140"/>
    </row>
    <row r="893" spans="23:45">
      <c r="W893" s="96"/>
      <c r="X893" s="96"/>
      <c r="Y893" s="96"/>
      <c r="Z893" s="96"/>
      <c r="AA893" s="96"/>
      <c r="AB893" s="96"/>
      <c r="AC893" s="96"/>
      <c r="AD893" s="96"/>
      <c r="AE893" s="96"/>
      <c r="AF893" s="96"/>
      <c r="AG893" s="96"/>
      <c r="AH893" s="96"/>
      <c r="AI893" s="96"/>
      <c r="AJ893" s="96"/>
      <c r="AK893" s="96"/>
      <c r="AL893" s="96"/>
      <c r="AM893" s="96"/>
      <c r="AN893" s="96"/>
      <c r="AO893" s="96"/>
      <c r="AP893" s="96"/>
      <c r="AQ893" s="96"/>
      <c r="AR893" s="140"/>
      <c r="AS893" s="140"/>
    </row>
    <row r="894" spans="23:45">
      <c r="W894" s="96"/>
      <c r="X894" s="96"/>
      <c r="Y894" s="96"/>
      <c r="Z894" s="96"/>
      <c r="AA894" s="96"/>
      <c r="AB894" s="96"/>
      <c r="AC894" s="96"/>
      <c r="AD894" s="96"/>
      <c r="AE894" s="96"/>
      <c r="AF894" s="96"/>
      <c r="AG894" s="96"/>
      <c r="AH894" s="96"/>
      <c r="AI894" s="96"/>
      <c r="AJ894" s="96"/>
      <c r="AK894" s="96"/>
      <c r="AL894" s="96"/>
      <c r="AM894" s="96"/>
      <c r="AN894" s="96"/>
      <c r="AO894" s="96"/>
      <c r="AP894" s="96"/>
      <c r="AQ894" s="96"/>
      <c r="AR894" s="140"/>
      <c r="AS894" s="140"/>
    </row>
    <row r="895" spans="23:45">
      <c r="W895" s="96"/>
      <c r="X895" s="96"/>
      <c r="Y895" s="96"/>
      <c r="Z895" s="96"/>
      <c r="AA895" s="96"/>
      <c r="AB895" s="96"/>
      <c r="AC895" s="96"/>
      <c r="AD895" s="96"/>
      <c r="AE895" s="96"/>
      <c r="AF895" s="96"/>
      <c r="AG895" s="96"/>
      <c r="AH895" s="96"/>
      <c r="AI895" s="96"/>
      <c r="AJ895" s="96"/>
      <c r="AK895" s="96"/>
      <c r="AL895" s="96"/>
      <c r="AM895" s="96"/>
      <c r="AN895" s="96"/>
      <c r="AO895" s="96"/>
      <c r="AP895" s="96"/>
      <c r="AQ895" s="96"/>
      <c r="AR895" s="140"/>
      <c r="AS895" s="140"/>
    </row>
    <row r="896" spans="23:45">
      <c r="W896" s="96"/>
      <c r="X896" s="96"/>
      <c r="Y896" s="96"/>
      <c r="Z896" s="96"/>
      <c r="AA896" s="96"/>
      <c r="AB896" s="96"/>
      <c r="AC896" s="96"/>
      <c r="AD896" s="96"/>
      <c r="AE896" s="96"/>
      <c r="AF896" s="96"/>
      <c r="AG896" s="96"/>
      <c r="AH896" s="96"/>
      <c r="AI896" s="96"/>
      <c r="AJ896" s="96"/>
      <c r="AK896" s="96"/>
      <c r="AL896" s="96"/>
      <c r="AM896" s="96"/>
      <c r="AN896" s="96"/>
      <c r="AO896" s="96"/>
      <c r="AP896" s="96"/>
      <c r="AQ896" s="96"/>
      <c r="AR896" s="140"/>
      <c r="AS896" s="140"/>
    </row>
    <row r="897" spans="23:45">
      <c r="W897" s="96"/>
      <c r="X897" s="96"/>
      <c r="Y897" s="96"/>
      <c r="Z897" s="96"/>
      <c r="AA897" s="96"/>
      <c r="AB897" s="96"/>
      <c r="AC897" s="96"/>
      <c r="AD897" s="96"/>
      <c r="AE897" s="96"/>
      <c r="AF897" s="96"/>
      <c r="AG897" s="96"/>
      <c r="AH897" s="96"/>
      <c r="AI897" s="96"/>
      <c r="AJ897" s="96"/>
      <c r="AK897" s="96"/>
      <c r="AL897" s="96"/>
      <c r="AM897" s="96"/>
      <c r="AN897" s="96"/>
      <c r="AO897" s="96"/>
      <c r="AP897" s="96"/>
      <c r="AQ897" s="96"/>
      <c r="AR897" s="140"/>
      <c r="AS897" s="140"/>
    </row>
    <row r="898" spans="23:45">
      <c r="W898" s="96"/>
      <c r="X898" s="96"/>
      <c r="Y898" s="96"/>
      <c r="Z898" s="96"/>
      <c r="AA898" s="96"/>
      <c r="AB898" s="96"/>
      <c r="AC898" s="96"/>
      <c r="AD898" s="96"/>
      <c r="AE898" s="96"/>
      <c r="AF898" s="96"/>
      <c r="AG898" s="96"/>
      <c r="AH898" s="96"/>
      <c r="AI898" s="96"/>
      <c r="AJ898" s="96"/>
      <c r="AK898" s="96"/>
      <c r="AL898" s="96"/>
      <c r="AM898" s="96"/>
      <c r="AN898" s="96"/>
      <c r="AO898" s="96"/>
      <c r="AP898" s="96"/>
      <c r="AQ898" s="96"/>
      <c r="AR898" s="140"/>
      <c r="AS898" s="140"/>
    </row>
    <row r="899" spans="23:45">
      <c r="W899" s="96"/>
      <c r="X899" s="96"/>
      <c r="Y899" s="96"/>
      <c r="Z899" s="96"/>
      <c r="AA899" s="96"/>
      <c r="AB899" s="96"/>
      <c r="AC899" s="96"/>
      <c r="AD899" s="96"/>
      <c r="AE899" s="96"/>
      <c r="AF899" s="96"/>
      <c r="AG899" s="96"/>
      <c r="AH899" s="96"/>
      <c r="AI899" s="96"/>
      <c r="AJ899" s="96"/>
      <c r="AK899" s="96"/>
      <c r="AL899" s="96"/>
      <c r="AM899" s="96"/>
      <c r="AN899" s="96"/>
      <c r="AO899" s="96"/>
      <c r="AP899" s="96"/>
      <c r="AQ899" s="96"/>
      <c r="AR899" s="140"/>
      <c r="AS899" s="140"/>
    </row>
    <row r="900" spans="23:45">
      <c r="W900" s="96"/>
      <c r="X900" s="96"/>
      <c r="Y900" s="96"/>
      <c r="Z900" s="96"/>
      <c r="AA900" s="96"/>
      <c r="AB900" s="96"/>
      <c r="AC900" s="96"/>
      <c r="AD900" s="96"/>
      <c r="AE900" s="96"/>
      <c r="AF900" s="96"/>
      <c r="AG900" s="96"/>
      <c r="AH900" s="96"/>
      <c r="AI900" s="96"/>
      <c r="AJ900" s="96"/>
      <c r="AK900" s="96"/>
      <c r="AL900" s="96"/>
      <c r="AM900" s="96"/>
      <c r="AN900" s="96"/>
      <c r="AO900" s="96"/>
      <c r="AP900" s="96"/>
      <c r="AQ900" s="96"/>
      <c r="AR900" s="140"/>
      <c r="AS900" s="140"/>
    </row>
    <row r="901" spans="23:45">
      <c r="W901" s="96"/>
      <c r="X901" s="96"/>
      <c r="Y901" s="96"/>
      <c r="Z901" s="96"/>
      <c r="AA901" s="96"/>
      <c r="AB901" s="96"/>
      <c r="AC901" s="96"/>
      <c r="AD901" s="96"/>
      <c r="AE901" s="96"/>
      <c r="AF901" s="96"/>
      <c r="AG901" s="96"/>
      <c r="AH901" s="96"/>
      <c r="AI901" s="96"/>
      <c r="AJ901" s="96"/>
      <c r="AK901" s="96"/>
      <c r="AL901" s="96"/>
      <c r="AM901" s="96"/>
      <c r="AN901" s="96"/>
      <c r="AO901" s="96"/>
      <c r="AP901" s="96"/>
      <c r="AQ901" s="96"/>
      <c r="AR901" s="140"/>
      <c r="AS901" s="140"/>
    </row>
    <row r="902" spans="23:45">
      <c r="W902" s="96"/>
      <c r="X902" s="96"/>
      <c r="Y902" s="96"/>
      <c r="Z902" s="96"/>
      <c r="AA902" s="96"/>
      <c r="AB902" s="96"/>
      <c r="AC902" s="96"/>
      <c r="AD902" s="96"/>
      <c r="AE902" s="96"/>
      <c r="AF902" s="96"/>
      <c r="AG902" s="96"/>
      <c r="AH902" s="96"/>
      <c r="AI902" s="96"/>
      <c r="AJ902" s="96"/>
      <c r="AK902" s="96"/>
      <c r="AL902" s="96"/>
      <c r="AM902" s="96"/>
      <c r="AN902" s="96"/>
      <c r="AO902" s="96"/>
      <c r="AP902" s="96"/>
      <c r="AQ902" s="96"/>
      <c r="AR902" s="140"/>
      <c r="AS902" s="140"/>
    </row>
    <row r="903" spans="23:45">
      <c r="W903" s="96"/>
      <c r="X903" s="96"/>
      <c r="Y903" s="96"/>
      <c r="Z903" s="96"/>
      <c r="AA903" s="96"/>
      <c r="AB903" s="96"/>
      <c r="AC903" s="96"/>
      <c r="AD903" s="96"/>
      <c r="AE903" s="96"/>
      <c r="AF903" s="96"/>
      <c r="AG903" s="96"/>
      <c r="AH903" s="96"/>
      <c r="AI903" s="96"/>
      <c r="AJ903" s="96"/>
      <c r="AK903" s="96"/>
      <c r="AL903" s="96"/>
      <c r="AM903" s="96"/>
      <c r="AN903" s="96"/>
      <c r="AO903" s="96"/>
      <c r="AP903" s="96"/>
      <c r="AQ903" s="96"/>
      <c r="AR903" s="140"/>
      <c r="AS903" s="140"/>
    </row>
    <row r="904" spans="23:45">
      <c r="W904" s="96"/>
      <c r="X904" s="96"/>
      <c r="Y904" s="96"/>
      <c r="Z904" s="96"/>
      <c r="AA904" s="96"/>
      <c r="AB904" s="96"/>
      <c r="AC904" s="96"/>
      <c r="AD904" s="96"/>
      <c r="AE904" s="96"/>
      <c r="AF904" s="96"/>
      <c r="AG904" s="96"/>
      <c r="AH904" s="96"/>
      <c r="AI904" s="96"/>
      <c r="AJ904" s="96"/>
      <c r="AK904" s="96"/>
      <c r="AL904" s="96"/>
      <c r="AM904" s="96"/>
      <c r="AN904" s="96"/>
      <c r="AO904" s="96"/>
      <c r="AP904" s="96"/>
      <c r="AQ904" s="96"/>
      <c r="AR904" s="140"/>
      <c r="AS904" s="140"/>
    </row>
    <row r="905" spans="23:45">
      <c r="W905" s="96"/>
      <c r="X905" s="96"/>
      <c r="Y905" s="96"/>
      <c r="Z905" s="96"/>
      <c r="AA905" s="96"/>
      <c r="AB905" s="96"/>
      <c r="AC905" s="96"/>
      <c r="AD905" s="96"/>
      <c r="AE905" s="96"/>
      <c r="AF905" s="96"/>
      <c r="AG905" s="96"/>
      <c r="AH905" s="96"/>
      <c r="AI905" s="96"/>
      <c r="AJ905" s="96"/>
      <c r="AK905" s="96"/>
      <c r="AL905" s="96"/>
      <c r="AM905" s="96"/>
      <c r="AN905" s="96"/>
      <c r="AO905" s="96"/>
      <c r="AP905" s="96"/>
      <c r="AQ905" s="96"/>
      <c r="AR905" s="140"/>
      <c r="AS905" s="140"/>
    </row>
    <row r="906" spans="23:45">
      <c r="W906" s="96"/>
      <c r="X906" s="96"/>
      <c r="Y906" s="96"/>
      <c r="Z906" s="96"/>
      <c r="AA906" s="96"/>
      <c r="AB906" s="96"/>
      <c r="AC906" s="96"/>
      <c r="AD906" s="96"/>
      <c r="AE906" s="96"/>
      <c r="AF906" s="96"/>
      <c r="AG906" s="96"/>
      <c r="AH906" s="96"/>
      <c r="AI906" s="96"/>
      <c r="AJ906" s="96"/>
      <c r="AK906" s="96"/>
      <c r="AL906" s="96"/>
      <c r="AM906" s="96"/>
      <c r="AN906" s="96"/>
      <c r="AO906" s="96"/>
      <c r="AP906" s="96"/>
      <c r="AQ906" s="96"/>
      <c r="AR906" s="140"/>
      <c r="AS906" s="140"/>
    </row>
    <row r="907" spans="23:45">
      <c r="W907" s="96"/>
      <c r="X907" s="96"/>
      <c r="Y907" s="96"/>
      <c r="Z907" s="96"/>
      <c r="AA907" s="96"/>
      <c r="AB907" s="96"/>
      <c r="AC907" s="96"/>
      <c r="AD907" s="96"/>
      <c r="AE907" s="96"/>
      <c r="AF907" s="96"/>
      <c r="AG907" s="96"/>
      <c r="AH907" s="96"/>
      <c r="AI907" s="96"/>
      <c r="AJ907" s="96"/>
      <c r="AK907" s="96"/>
      <c r="AL907" s="96"/>
      <c r="AM907" s="96"/>
      <c r="AN907" s="96"/>
      <c r="AO907" s="96"/>
      <c r="AP907" s="96"/>
      <c r="AQ907" s="96"/>
      <c r="AR907" s="140"/>
      <c r="AS907" s="140"/>
    </row>
    <row r="908" spans="23:45">
      <c r="W908" s="96"/>
      <c r="X908" s="96"/>
      <c r="Y908" s="96"/>
      <c r="Z908" s="96"/>
      <c r="AA908" s="96"/>
      <c r="AB908" s="96"/>
      <c r="AC908" s="96"/>
      <c r="AD908" s="96"/>
      <c r="AE908" s="96"/>
      <c r="AF908" s="96"/>
      <c r="AG908" s="96"/>
      <c r="AH908" s="96"/>
      <c r="AI908" s="96"/>
      <c r="AJ908" s="96"/>
      <c r="AK908" s="96"/>
      <c r="AL908" s="96"/>
      <c r="AM908" s="96"/>
      <c r="AN908" s="96"/>
      <c r="AO908" s="96"/>
      <c r="AP908" s="96"/>
      <c r="AQ908" s="96"/>
      <c r="AR908" s="140"/>
      <c r="AS908" s="140"/>
    </row>
    <row r="909" spans="23:45">
      <c r="W909" s="96"/>
      <c r="X909" s="96"/>
      <c r="Y909" s="96"/>
      <c r="Z909" s="96"/>
      <c r="AA909" s="96"/>
      <c r="AB909" s="96"/>
      <c r="AC909" s="96"/>
      <c r="AD909" s="96"/>
      <c r="AE909" s="96"/>
      <c r="AF909" s="96"/>
      <c r="AG909" s="96"/>
      <c r="AH909" s="96"/>
      <c r="AI909" s="96"/>
      <c r="AJ909" s="96"/>
      <c r="AK909" s="96"/>
      <c r="AL909" s="96"/>
      <c r="AM909" s="96"/>
      <c r="AN909" s="96"/>
      <c r="AO909" s="96"/>
      <c r="AP909" s="96"/>
      <c r="AQ909" s="96"/>
      <c r="AR909" s="140"/>
      <c r="AS909" s="140"/>
    </row>
    <row r="910" spans="23:45">
      <c r="W910" s="96"/>
      <c r="X910" s="96"/>
      <c r="Y910" s="96"/>
      <c r="Z910" s="96"/>
      <c r="AA910" s="96"/>
      <c r="AB910" s="96"/>
      <c r="AC910" s="96"/>
      <c r="AD910" s="96"/>
      <c r="AE910" s="96"/>
      <c r="AF910" s="96"/>
      <c r="AG910" s="96"/>
      <c r="AH910" s="96"/>
      <c r="AI910" s="96"/>
      <c r="AJ910" s="96"/>
      <c r="AK910" s="96"/>
      <c r="AL910" s="96"/>
      <c r="AM910" s="96"/>
      <c r="AN910" s="96"/>
      <c r="AO910" s="96"/>
      <c r="AP910" s="96"/>
      <c r="AQ910" s="96"/>
      <c r="AR910" s="140"/>
      <c r="AS910" s="140"/>
    </row>
    <row r="911" spans="23:45">
      <c r="W911" s="96"/>
      <c r="X911" s="96"/>
      <c r="Y911" s="96"/>
      <c r="Z911" s="96"/>
      <c r="AA911" s="96"/>
      <c r="AB911" s="96"/>
      <c r="AC911" s="96"/>
      <c r="AD911" s="96"/>
      <c r="AE911" s="96"/>
      <c r="AF911" s="96"/>
      <c r="AG911" s="96"/>
      <c r="AH911" s="96"/>
      <c r="AI911" s="96"/>
      <c r="AJ911" s="96"/>
      <c r="AK911" s="96"/>
      <c r="AL911" s="96"/>
      <c r="AM911" s="96"/>
      <c r="AN911" s="96"/>
      <c r="AO911" s="96"/>
      <c r="AP911" s="96"/>
      <c r="AQ911" s="96"/>
      <c r="AR911" s="140"/>
      <c r="AS911" s="140"/>
    </row>
    <row r="912" spans="23:45">
      <c r="W912" s="96"/>
      <c r="X912" s="96"/>
      <c r="Y912" s="96"/>
      <c r="Z912" s="96"/>
      <c r="AA912" s="96"/>
      <c r="AB912" s="96"/>
      <c r="AC912" s="96"/>
      <c r="AD912" s="96"/>
      <c r="AE912" s="96"/>
      <c r="AF912" s="96"/>
      <c r="AG912" s="96"/>
      <c r="AH912" s="96"/>
      <c r="AI912" s="96"/>
      <c r="AJ912" s="96"/>
      <c r="AK912" s="96"/>
      <c r="AL912" s="96"/>
      <c r="AM912" s="96"/>
      <c r="AN912" s="96"/>
      <c r="AO912" s="96"/>
      <c r="AP912" s="96"/>
      <c r="AQ912" s="96"/>
      <c r="AR912" s="140"/>
      <c r="AS912" s="140"/>
    </row>
    <row r="913" spans="23:45">
      <c r="W913" s="96"/>
      <c r="X913" s="96"/>
      <c r="Y913" s="96"/>
      <c r="Z913" s="96"/>
      <c r="AA913" s="96"/>
      <c r="AB913" s="96"/>
      <c r="AC913" s="96"/>
      <c r="AD913" s="96"/>
      <c r="AE913" s="96"/>
      <c r="AF913" s="96"/>
      <c r="AG913" s="96"/>
      <c r="AH913" s="96"/>
      <c r="AI913" s="96"/>
      <c r="AJ913" s="96"/>
      <c r="AK913" s="96"/>
      <c r="AL913" s="96"/>
      <c r="AM913" s="96"/>
      <c r="AN913" s="96"/>
      <c r="AO913" s="96"/>
      <c r="AP913" s="96"/>
      <c r="AQ913" s="96"/>
      <c r="AR913" s="140"/>
      <c r="AS913" s="140"/>
    </row>
    <row r="914" spans="23:45">
      <c r="W914" s="96"/>
      <c r="X914" s="96"/>
      <c r="Y914" s="96"/>
      <c r="Z914" s="96"/>
      <c r="AA914" s="96"/>
      <c r="AB914" s="96"/>
      <c r="AC914" s="96"/>
      <c r="AD914" s="96"/>
      <c r="AE914" s="96"/>
      <c r="AF914" s="96"/>
      <c r="AG914" s="96"/>
      <c r="AH914" s="96"/>
      <c r="AI914" s="96"/>
      <c r="AJ914" s="96"/>
      <c r="AK914" s="96"/>
      <c r="AL914" s="96"/>
      <c r="AM914" s="96"/>
      <c r="AN914" s="96"/>
      <c r="AO914" s="96"/>
      <c r="AP914" s="96"/>
      <c r="AQ914" s="96"/>
      <c r="AR914" s="140"/>
      <c r="AS914" s="140"/>
    </row>
    <row r="915" spans="23:45">
      <c r="W915" s="96"/>
      <c r="X915" s="96"/>
      <c r="Y915" s="96"/>
      <c r="Z915" s="96"/>
      <c r="AA915" s="96"/>
      <c r="AB915" s="96"/>
      <c r="AC915" s="96"/>
      <c r="AD915" s="96"/>
      <c r="AE915" s="96"/>
      <c r="AF915" s="96"/>
      <c r="AG915" s="96"/>
      <c r="AH915" s="96"/>
      <c r="AI915" s="96"/>
      <c r="AJ915" s="96"/>
      <c r="AK915" s="96"/>
      <c r="AL915" s="96"/>
      <c r="AM915" s="96"/>
      <c r="AN915" s="96"/>
      <c r="AO915" s="96"/>
      <c r="AP915" s="96"/>
      <c r="AQ915" s="96"/>
      <c r="AR915" s="140"/>
      <c r="AS915" s="140"/>
    </row>
    <row r="916" spans="23:45">
      <c r="W916" s="96"/>
      <c r="X916" s="96"/>
      <c r="Y916" s="96"/>
      <c r="Z916" s="96"/>
      <c r="AA916" s="96"/>
      <c r="AB916" s="96"/>
      <c r="AC916" s="96"/>
      <c r="AD916" s="96"/>
      <c r="AE916" s="96"/>
      <c r="AF916" s="96"/>
      <c r="AG916" s="96"/>
      <c r="AH916" s="96"/>
      <c r="AI916" s="96"/>
      <c r="AJ916" s="96"/>
      <c r="AK916" s="96"/>
      <c r="AL916" s="96"/>
      <c r="AM916" s="96"/>
      <c r="AN916" s="96"/>
      <c r="AO916" s="96"/>
      <c r="AP916" s="96"/>
      <c r="AQ916" s="96"/>
      <c r="AR916" s="140"/>
      <c r="AS916" s="140"/>
    </row>
    <row r="917" spans="23:45">
      <c r="W917" s="96"/>
      <c r="X917" s="96"/>
      <c r="Y917" s="96"/>
      <c r="Z917" s="96"/>
      <c r="AA917" s="96"/>
      <c r="AB917" s="96"/>
      <c r="AC917" s="96"/>
      <c r="AD917" s="96"/>
      <c r="AE917" s="96"/>
      <c r="AF917" s="96"/>
      <c r="AG917" s="96"/>
      <c r="AH917" s="96"/>
      <c r="AI917" s="96"/>
      <c r="AJ917" s="96"/>
      <c r="AK917" s="96"/>
      <c r="AL917" s="96"/>
      <c r="AM917" s="96"/>
      <c r="AN917" s="96"/>
      <c r="AO917" s="96"/>
      <c r="AP917" s="96"/>
      <c r="AQ917" s="96"/>
      <c r="AR917" s="140"/>
      <c r="AS917" s="140"/>
    </row>
    <row r="918" spans="23:45">
      <c r="W918" s="96"/>
      <c r="X918" s="96"/>
      <c r="Y918" s="96"/>
      <c r="Z918" s="96"/>
      <c r="AA918" s="96"/>
      <c r="AB918" s="96"/>
      <c r="AC918" s="96"/>
      <c r="AD918" s="96"/>
      <c r="AE918" s="96"/>
      <c r="AF918" s="96"/>
      <c r="AG918" s="96"/>
      <c r="AH918" s="96"/>
      <c r="AI918" s="96"/>
      <c r="AJ918" s="96"/>
      <c r="AK918" s="96"/>
      <c r="AL918" s="96"/>
      <c r="AM918" s="96"/>
      <c r="AN918" s="96"/>
      <c r="AO918" s="96"/>
      <c r="AP918" s="96"/>
      <c r="AQ918" s="96"/>
      <c r="AR918" s="140"/>
      <c r="AS918" s="140"/>
    </row>
    <row r="919" spans="23:45">
      <c r="W919" s="96"/>
      <c r="X919" s="96"/>
      <c r="Y919" s="96"/>
      <c r="Z919" s="96"/>
      <c r="AA919" s="96"/>
      <c r="AB919" s="96"/>
      <c r="AC919" s="96"/>
      <c r="AD919" s="96"/>
      <c r="AE919" s="96"/>
      <c r="AF919" s="96"/>
      <c r="AG919" s="96"/>
      <c r="AH919" s="96"/>
      <c r="AI919" s="96"/>
      <c r="AJ919" s="96"/>
      <c r="AK919" s="96"/>
      <c r="AL919" s="96"/>
      <c r="AM919" s="96"/>
      <c r="AN919" s="96"/>
      <c r="AO919" s="96"/>
      <c r="AP919" s="96"/>
      <c r="AQ919" s="96"/>
      <c r="AR919" s="140"/>
      <c r="AS919" s="140"/>
    </row>
    <row r="920" spans="23:45">
      <c r="W920" s="96"/>
      <c r="X920" s="96"/>
      <c r="Y920" s="96"/>
      <c r="Z920" s="96"/>
      <c r="AA920" s="96"/>
      <c r="AB920" s="96"/>
      <c r="AC920" s="96"/>
      <c r="AD920" s="96"/>
      <c r="AE920" s="96"/>
      <c r="AF920" s="96"/>
      <c r="AG920" s="96"/>
      <c r="AH920" s="96"/>
      <c r="AI920" s="96"/>
      <c r="AJ920" s="96"/>
      <c r="AK920" s="96"/>
      <c r="AL920" s="96"/>
      <c r="AM920" s="96"/>
      <c r="AN920" s="96"/>
      <c r="AO920" s="96"/>
      <c r="AP920" s="96"/>
      <c r="AQ920" s="96"/>
      <c r="AR920" s="140"/>
      <c r="AS920" s="140"/>
    </row>
    <row r="921" spans="23:45">
      <c r="W921" s="96"/>
      <c r="X921" s="96"/>
      <c r="Y921" s="96"/>
      <c r="Z921" s="96"/>
      <c r="AA921" s="96"/>
      <c r="AB921" s="96"/>
      <c r="AC921" s="96"/>
      <c r="AD921" s="96"/>
      <c r="AE921" s="96"/>
      <c r="AF921" s="96"/>
      <c r="AG921" s="96"/>
      <c r="AH921" s="96"/>
      <c r="AI921" s="96"/>
      <c r="AJ921" s="96"/>
      <c r="AK921" s="96"/>
      <c r="AL921" s="96"/>
      <c r="AM921" s="96"/>
      <c r="AN921" s="96"/>
      <c r="AO921" s="96"/>
      <c r="AP921" s="96"/>
      <c r="AQ921" s="96"/>
      <c r="AR921" s="140"/>
      <c r="AS921" s="140"/>
    </row>
    <row r="922" spans="23:45">
      <c r="W922" s="96"/>
      <c r="X922" s="96"/>
      <c r="Y922" s="96"/>
      <c r="Z922" s="96"/>
      <c r="AA922" s="96"/>
      <c r="AB922" s="96"/>
      <c r="AC922" s="96"/>
      <c r="AD922" s="96"/>
      <c r="AE922" s="96"/>
      <c r="AF922" s="96"/>
      <c r="AG922" s="96"/>
      <c r="AH922" s="96"/>
      <c r="AI922" s="96"/>
      <c r="AJ922" s="96"/>
      <c r="AK922" s="96"/>
      <c r="AL922" s="96"/>
      <c r="AM922" s="96"/>
      <c r="AN922" s="96"/>
      <c r="AO922" s="96"/>
      <c r="AP922" s="96"/>
      <c r="AQ922" s="96"/>
      <c r="AR922" s="140"/>
      <c r="AS922" s="140"/>
    </row>
    <row r="923" spans="23:45">
      <c r="W923" s="96"/>
      <c r="X923" s="96"/>
      <c r="Y923" s="96"/>
      <c r="Z923" s="96"/>
      <c r="AA923" s="96"/>
      <c r="AB923" s="96"/>
      <c r="AC923" s="96"/>
      <c r="AD923" s="96"/>
      <c r="AE923" s="96"/>
      <c r="AF923" s="96"/>
      <c r="AG923" s="96"/>
      <c r="AH923" s="96"/>
      <c r="AI923" s="96"/>
      <c r="AJ923" s="96"/>
      <c r="AK923" s="96"/>
      <c r="AL923" s="96"/>
      <c r="AM923" s="96"/>
      <c r="AN923" s="96"/>
      <c r="AO923" s="96"/>
      <c r="AP923" s="96"/>
      <c r="AQ923" s="96"/>
      <c r="AR923" s="140"/>
      <c r="AS923" s="140"/>
    </row>
    <row r="924" spans="23:45">
      <c r="W924" s="96"/>
      <c r="X924" s="96"/>
      <c r="Y924" s="96"/>
      <c r="Z924" s="96"/>
      <c r="AA924" s="96"/>
      <c r="AB924" s="96"/>
      <c r="AC924" s="96"/>
      <c r="AD924" s="96"/>
      <c r="AE924" s="96"/>
      <c r="AF924" s="96"/>
      <c r="AG924" s="96"/>
      <c r="AH924" s="96"/>
      <c r="AI924" s="96"/>
      <c r="AJ924" s="96"/>
      <c r="AK924" s="96"/>
      <c r="AL924" s="96"/>
      <c r="AM924" s="96"/>
      <c r="AN924" s="96"/>
      <c r="AO924" s="96"/>
      <c r="AP924" s="96"/>
      <c r="AQ924" s="96"/>
      <c r="AR924" s="140"/>
      <c r="AS924" s="140"/>
    </row>
    <row r="925" spans="23:45">
      <c r="W925" s="96"/>
      <c r="X925" s="96"/>
      <c r="Y925" s="96"/>
      <c r="Z925" s="96"/>
      <c r="AA925" s="96"/>
      <c r="AB925" s="96"/>
      <c r="AC925" s="96"/>
      <c r="AD925" s="96"/>
      <c r="AE925" s="96"/>
      <c r="AF925" s="96"/>
      <c r="AG925" s="96"/>
      <c r="AH925" s="96"/>
      <c r="AI925" s="96"/>
      <c r="AJ925" s="96"/>
      <c r="AK925" s="96"/>
      <c r="AL925" s="96"/>
      <c r="AM925" s="96"/>
      <c r="AN925" s="96"/>
      <c r="AO925" s="96"/>
      <c r="AP925" s="96"/>
      <c r="AQ925" s="96"/>
      <c r="AR925" s="140"/>
      <c r="AS925" s="140"/>
    </row>
    <row r="926" spans="23:45">
      <c r="W926" s="96"/>
      <c r="X926" s="96"/>
      <c r="Y926" s="96"/>
      <c r="Z926" s="96"/>
      <c r="AA926" s="96"/>
      <c r="AB926" s="96"/>
      <c r="AC926" s="96"/>
      <c r="AD926" s="96"/>
      <c r="AE926" s="96"/>
      <c r="AF926" s="96"/>
      <c r="AG926" s="96"/>
      <c r="AH926" s="96"/>
      <c r="AI926" s="96"/>
      <c r="AJ926" s="96"/>
      <c r="AK926" s="96"/>
      <c r="AL926" s="96"/>
      <c r="AM926" s="96"/>
      <c r="AN926" s="96"/>
      <c r="AO926" s="96"/>
      <c r="AP926" s="96"/>
      <c r="AQ926" s="96"/>
      <c r="AR926" s="140"/>
      <c r="AS926" s="140"/>
    </row>
    <row r="927" spans="23:45">
      <c r="W927" s="96"/>
      <c r="X927" s="96"/>
      <c r="Y927" s="96"/>
      <c r="Z927" s="96"/>
      <c r="AA927" s="96"/>
      <c r="AB927" s="96"/>
      <c r="AC927" s="96"/>
      <c r="AD927" s="96"/>
      <c r="AE927" s="96"/>
      <c r="AF927" s="96"/>
      <c r="AG927" s="96"/>
      <c r="AH927" s="96"/>
      <c r="AI927" s="96"/>
      <c r="AJ927" s="96"/>
      <c r="AK927" s="96"/>
      <c r="AL927" s="96"/>
      <c r="AM927" s="96"/>
      <c r="AN927" s="96"/>
      <c r="AO927" s="96"/>
      <c r="AP927" s="96"/>
      <c r="AQ927" s="96"/>
      <c r="AR927" s="140"/>
      <c r="AS927" s="140"/>
    </row>
    <row r="928" spans="23:45">
      <c r="W928" s="96"/>
      <c r="X928" s="96"/>
      <c r="Y928" s="96"/>
      <c r="Z928" s="96"/>
      <c r="AA928" s="96"/>
      <c r="AB928" s="96"/>
      <c r="AC928" s="96"/>
      <c r="AD928" s="96"/>
      <c r="AE928" s="96"/>
      <c r="AF928" s="96"/>
      <c r="AG928" s="96"/>
      <c r="AH928" s="96"/>
      <c r="AI928" s="96"/>
      <c r="AJ928" s="96"/>
      <c r="AK928" s="96"/>
      <c r="AL928" s="96"/>
      <c r="AM928" s="96"/>
      <c r="AN928" s="96"/>
      <c r="AO928" s="96"/>
      <c r="AP928" s="96"/>
      <c r="AQ928" s="96"/>
      <c r="AR928" s="140"/>
      <c r="AS928" s="140"/>
    </row>
    <row r="929" spans="23:45">
      <c r="W929" s="96"/>
      <c r="X929" s="96"/>
      <c r="Y929" s="96"/>
      <c r="Z929" s="96"/>
      <c r="AA929" s="96"/>
      <c r="AB929" s="96"/>
      <c r="AC929" s="96"/>
      <c r="AD929" s="96"/>
      <c r="AE929" s="96"/>
      <c r="AF929" s="96"/>
      <c r="AG929" s="96"/>
      <c r="AH929" s="96"/>
      <c r="AI929" s="96"/>
      <c r="AJ929" s="96"/>
      <c r="AK929" s="96"/>
      <c r="AL929" s="96"/>
      <c r="AM929" s="96"/>
      <c r="AN929" s="96"/>
      <c r="AO929" s="96"/>
      <c r="AP929" s="96"/>
      <c r="AQ929" s="96"/>
      <c r="AR929" s="140"/>
      <c r="AS929" s="140"/>
    </row>
    <row r="930" spans="23:45">
      <c r="W930" s="96"/>
      <c r="X930" s="96"/>
      <c r="Y930" s="96"/>
      <c r="Z930" s="96"/>
      <c r="AA930" s="96"/>
      <c r="AB930" s="96"/>
      <c r="AC930" s="96"/>
      <c r="AD930" s="96"/>
      <c r="AE930" s="96"/>
      <c r="AF930" s="96"/>
      <c r="AG930" s="96"/>
      <c r="AH930" s="96"/>
      <c r="AI930" s="96"/>
      <c r="AJ930" s="96"/>
      <c r="AK930" s="96"/>
      <c r="AL930" s="96"/>
      <c r="AM930" s="96"/>
      <c r="AN930" s="96"/>
      <c r="AO930" s="96"/>
      <c r="AP930" s="96"/>
      <c r="AQ930" s="96"/>
      <c r="AR930" s="140"/>
      <c r="AS930" s="140"/>
    </row>
    <row r="931" spans="23:45">
      <c r="W931" s="96"/>
      <c r="X931" s="96"/>
      <c r="Y931" s="96"/>
      <c r="Z931" s="96"/>
      <c r="AA931" s="96"/>
      <c r="AB931" s="96"/>
      <c r="AC931" s="96"/>
      <c r="AD931" s="96"/>
      <c r="AE931" s="96"/>
      <c r="AF931" s="96"/>
      <c r="AG931" s="96"/>
      <c r="AH931" s="96"/>
      <c r="AI931" s="96"/>
      <c r="AJ931" s="96"/>
      <c r="AK931" s="96"/>
      <c r="AL931" s="96"/>
      <c r="AM931" s="96"/>
      <c r="AN931" s="96"/>
      <c r="AO931" s="96"/>
      <c r="AP931" s="96"/>
      <c r="AQ931" s="96"/>
      <c r="AR931" s="140"/>
      <c r="AS931" s="140"/>
    </row>
    <row r="932" spans="23:45">
      <c r="W932" s="96"/>
      <c r="X932" s="96"/>
      <c r="Y932" s="96"/>
      <c r="Z932" s="96"/>
      <c r="AA932" s="96"/>
      <c r="AB932" s="96"/>
      <c r="AC932" s="96"/>
      <c r="AD932" s="96"/>
      <c r="AE932" s="96"/>
      <c r="AF932" s="96"/>
      <c r="AG932" s="96"/>
      <c r="AH932" s="96"/>
      <c r="AI932" s="96"/>
      <c r="AJ932" s="96"/>
      <c r="AK932" s="96"/>
      <c r="AL932" s="96"/>
      <c r="AM932" s="96"/>
      <c r="AN932" s="96"/>
      <c r="AO932" s="96"/>
      <c r="AP932" s="96"/>
      <c r="AQ932" s="96"/>
      <c r="AR932" s="140"/>
      <c r="AS932" s="140"/>
    </row>
    <row r="933" spans="23:45">
      <c r="W933" s="96"/>
      <c r="X933" s="96"/>
      <c r="Y933" s="96"/>
      <c r="Z933" s="96"/>
      <c r="AA933" s="96"/>
      <c r="AB933" s="96"/>
      <c r="AC933" s="96"/>
      <c r="AD933" s="96"/>
      <c r="AE933" s="96"/>
      <c r="AF933" s="96"/>
      <c r="AG933" s="96"/>
      <c r="AH933" s="96"/>
      <c r="AI933" s="96"/>
      <c r="AJ933" s="96"/>
      <c r="AK933" s="96"/>
      <c r="AL933" s="96"/>
      <c r="AM933" s="96"/>
      <c r="AN933" s="96"/>
      <c r="AO933" s="96"/>
      <c r="AP933" s="96"/>
      <c r="AQ933" s="96"/>
      <c r="AR933" s="140"/>
      <c r="AS933" s="140"/>
    </row>
    <row r="934" spans="23:45">
      <c r="W934" s="96"/>
      <c r="X934" s="96"/>
      <c r="Y934" s="96"/>
      <c r="Z934" s="96"/>
      <c r="AA934" s="96"/>
      <c r="AB934" s="96"/>
      <c r="AC934" s="96"/>
      <c r="AD934" s="96"/>
      <c r="AE934" s="96"/>
      <c r="AF934" s="96"/>
      <c r="AG934" s="96"/>
      <c r="AH934" s="96"/>
      <c r="AI934" s="96"/>
      <c r="AJ934" s="96"/>
      <c r="AK934" s="96"/>
      <c r="AL934" s="96"/>
      <c r="AM934" s="96"/>
      <c r="AN934" s="96"/>
      <c r="AO934" s="96"/>
      <c r="AP934" s="96"/>
      <c r="AQ934" s="96"/>
      <c r="AR934" s="140"/>
      <c r="AS934" s="140"/>
    </row>
    <row r="935" spans="23:45">
      <c r="W935" s="96"/>
      <c r="X935" s="96"/>
      <c r="Y935" s="96"/>
      <c r="Z935" s="96"/>
      <c r="AA935" s="96"/>
      <c r="AB935" s="96"/>
      <c r="AC935" s="96"/>
      <c r="AD935" s="96"/>
      <c r="AE935" s="96"/>
      <c r="AF935" s="96"/>
      <c r="AG935" s="96"/>
      <c r="AH935" s="96"/>
      <c r="AI935" s="96"/>
      <c r="AJ935" s="96"/>
      <c r="AK935" s="96"/>
      <c r="AL935" s="96"/>
      <c r="AM935" s="96"/>
      <c r="AN935" s="96"/>
      <c r="AO935" s="96"/>
      <c r="AP935" s="96"/>
      <c r="AQ935" s="96"/>
      <c r="AR935" s="140"/>
      <c r="AS935" s="140"/>
    </row>
    <row r="936" spans="23:45">
      <c r="W936" s="96"/>
      <c r="X936" s="96"/>
      <c r="Y936" s="96"/>
      <c r="Z936" s="96"/>
      <c r="AA936" s="96"/>
      <c r="AB936" s="96"/>
      <c r="AC936" s="96"/>
      <c r="AD936" s="96"/>
      <c r="AE936" s="96"/>
      <c r="AF936" s="96"/>
      <c r="AG936" s="96"/>
      <c r="AH936" s="96"/>
      <c r="AI936" s="96"/>
      <c r="AJ936" s="96"/>
      <c r="AK936" s="96"/>
      <c r="AL936" s="96"/>
      <c r="AM936" s="96"/>
      <c r="AN936" s="96"/>
      <c r="AO936" s="96"/>
      <c r="AP936" s="96"/>
      <c r="AQ936" s="96"/>
      <c r="AR936" s="140"/>
      <c r="AS936" s="140"/>
    </row>
    <row r="937" spans="23:45">
      <c r="W937" s="96"/>
      <c r="X937" s="96"/>
      <c r="Y937" s="96"/>
      <c r="Z937" s="96"/>
      <c r="AA937" s="96"/>
      <c r="AB937" s="96"/>
      <c r="AC937" s="96"/>
      <c r="AD937" s="96"/>
      <c r="AE937" s="96"/>
      <c r="AF937" s="96"/>
      <c r="AG937" s="96"/>
      <c r="AH937" s="96"/>
      <c r="AI937" s="96"/>
      <c r="AJ937" s="96"/>
      <c r="AK937" s="96"/>
      <c r="AL937" s="96"/>
      <c r="AM937" s="96"/>
      <c r="AN937" s="96"/>
      <c r="AO937" s="96"/>
      <c r="AP937" s="96"/>
      <c r="AQ937" s="96"/>
      <c r="AR937" s="140"/>
      <c r="AS937" s="140"/>
    </row>
    <row r="938" spans="23:45">
      <c r="W938" s="96"/>
      <c r="X938" s="96"/>
      <c r="Y938" s="96"/>
      <c r="Z938" s="96"/>
      <c r="AA938" s="96"/>
      <c r="AB938" s="96"/>
      <c r="AC938" s="96"/>
      <c r="AD938" s="96"/>
      <c r="AE938" s="96"/>
      <c r="AF938" s="96"/>
      <c r="AG938" s="96"/>
      <c r="AH938" s="96"/>
      <c r="AI938" s="96"/>
      <c r="AJ938" s="96"/>
      <c r="AK938" s="96"/>
      <c r="AL938" s="96"/>
      <c r="AM938" s="96"/>
      <c r="AN938" s="96"/>
      <c r="AO938" s="96"/>
      <c r="AP938" s="96"/>
      <c r="AQ938" s="96"/>
      <c r="AR938" s="140"/>
      <c r="AS938" s="140"/>
    </row>
    <row r="939" spans="23:45">
      <c r="W939" s="96"/>
      <c r="X939" s="96"/>
      <c r="Y939" s="96"/>
      <c r="Z939" s="96"/>
      <c r="AA939" s="96"/>
      <c r="AB939" s="96"/>
      <c r="AC939" s="96"/>
      <c r="AD939" s="96"/>
      <c r="AE939" s="96"/>
      <c r="AF939" s="96"/>
      <c r="AG939" s="96"/>
      <c r="AH939" s="96"/>
      <c r="AI939" s="96"/>
      <c r="AJ939" s="96"/>
      <c r="AK939" s="96"/>
      <c r="AL939" s="96"/>
      <c r="AM939" s="96"/>
      <c r="AN939" s="96"/>
      <c r="AO939" s="96"/>
      <c r="AP939" s="96"/>
      <c r="AQ939" s="96"/>
      <c r="AR939" s="140"/>
      <c r="AS939" s="140"/>
    </row>
    <row r="940" spans="23:45">
      <c r="W940" s="96"/>
      <c r="X940" s="96"/>
      <c r="Y940" s="96"/>
      <c r="Z940" s="96"/>
      <c r="AA940" s="96"/>
      <c r="AB940" s="96"/>
      <c r="AC940" s="96"/>
      <c r="AD940" s="96"/>
      <c r="AE940" s="96"/>
      <c r="AF940" s="96"/>
      <c r="AG940" s="96"/>
      <c r="AH940" s="96"/>
      <c r="AI940" s="96"/>
      <c r="AJ940" s="96"/>
      <c r="AK940" s="96"/>
      <c r="AL940" s="96"/>
      <c r="AM940" s="96"/>
      <c r="AN940" s="96"/>
      <c r="AO940" s="96"/>
      <c r="AP940" s="96"/>
      <c r="AQ940" s="96"/>
      <c r="AR940" s="140"/>
      <c r="AS940" s="140"/>
    </row>
    <row r="941" spans="23:45">
      <c r="W941" s="96"/>
      <c r="X941" s="96"/>
      <c r="Y941" s="96"/>
      <c r="Z941" s="96"/>
      <c r="AA941" s="96"/>
      <c r="AB941" s="96"/>
      <c r="AC941" s="96"/>
      <c r="AD941" s="96"/>
      <c r="AE941" s="96"/>
      <c r="AF941" s="96"/>
      <c r="AG941" s="96"/>
      <c r="AH941" s="96"/>
      <c r="AI941" s="96"/>
      <c r="AJ941" s="96"/>
      <c r="AK941" s="96"/>
      <c r="AL941" s="96"/>
      <c r="AM941" s="96"/>
      <c r="AN941" s="96"/>
      <c r="AO941" s="96"/>
      <c r="AP941" s="96"/>
      <c r="AQ941" s="96"/>
      <c r="AR941" s="140"/>
      <c r="AS941" s="140"/>
    </row>
    <row r="942" spans="23:45">
      <c r="W942" s="96"/>
      <c r="X942" s="96"/>
      <c r="Y942" s="96"/>
      <c r="Z942" s="96"/>
      <c r="AA942" s="96"/>
      <c r="AB942" s="96"/>
      <c r="AC942" s="96"/>
      <c r="AD942" s="96"/>
      <c r="AE942" s="96"/>
      <c r="AF942" s="96"/>
      <c r="AG942" s="96"/>
      <c r="AH942" s="96"/>
      <c r="AI942" s="96"/>
      <c r="AJ942" s="96"/>
      <c r="AK942" s="96"/>
      <c r="AL942" s="96"/>
      <c r="AM942" s="96"/>
      <c r="AN942" s="96"/>
      <c r="AO942" s="96"/>
      <c r="AP942" s="96"/>
      <c r="AQ942" s="96"/>
      <c r="AR942" s="140"/>
      <c r="AS942" s="140"/>
    </row>
    <row r="943" spans="23:45">
      <c r="W943" s="96"/>
      <c r="X943" s="96"/>
      <c r="Y943" s="96"/>
      <c r="Z943" s="96"/>
      <c r="AA943" s="96"/>
      <c r="AB943" s="96"/>
      <c r="AC943" s="96"/>
      <c r="AD943" s="96"/>
      <c r="AE943" s="96"/>
      <c r="AF943" s="96"/>
      <c r="AG943" s="96"/>
      <c r="AH943" s="96"/>
      <c r="AI943" s="96"/>
      <c r="AJ943" s="96"/>
      <c r="AK943" s="96"/>
      <c r="AL943" s="96"/>
      <c r="AM943" s="96"/>
      <c r="AN943" s="96"/>
      <c r="AO943" s="96"/>
      <c r="AP943" s="96"/>
      <c r="AQ943" s="96"/>
      <c r="AR943" s="140"/>
      <c r="AS943" s="140"/>
    </row>
    <row r="944" spans="23:45">
      <c r="W944" s="96"/>
      <c r="X944" s="96"/>
      <c r="Y944" s="96"/>
      <c r="Z944" s="96"/>
      <c r="AA944" s="96"/>
      <c r="AB944" s="96"/>
      <c r="AC944" s="96"/>
      <c r="AD944" s="96"/>
      <c r="AE944" s="96"/>
      <c r="AF944" s="96"/>
      <c r="AG944" s="96"/>
      <c r="AH944" s="96"/>
      <c r="AI944" s="96"/>
      <c r="AJ944" s="96"/>
      <c r="AK944" s="96"/>
      <c r="AL944" s="96"/>
      <c r="AM944" s="96"/>
      <c r="AN944" s="96"/>
      <c r="AO944" s="96"/>
      <c r="AP944" s="96"/>
      <c r="AQ944" s="96"/>
      <c r="AR944" s="140"/>
      <c r="AS944" s="140"/>
    </row>
    <row r="945" spans="23:45">
      <c r="W945" s="96"/>
      <c r="X945" s="96"/>
      <c r="Y945" s="96"/>
      <c r="Z945" s="96"/>
      <c r="AA945" s="96"/>
      <c r="AB945" s="96"/>
      <c r="AC945" s="96"/>
      <c r="AD945" s="96"/>
      <c r="AE945" s="96"/>
      <c r="AF945" s="96"/>
      <c r="AG945" s="96"/>
      <c r="AH945" s="96"/>
      <c r="AI945" s="96"/>
      <c r="AJ945" s="96"/>
      <c r="AK945" s="96"/>
      <c r="AL945" s="96"/>
      <c r="AM945" s="96"/>
      <c r="AN945" s="96"/>
      <c r="AO945" s="96"/>
      <c r="AP945" s="96"/>
      <c r="AQ945" s="96"/>
      <c r="AR945" s="140"/>
      <c r="AS945" s="140"/>
    </row>
    <row r="946" spans="23:45">
      <c r="W946" s="96"/>
      <c r="X946" s="96"/>
      <c r="Y946" s="96"/>
      <c r="Z946" s="96"/>
      <c r="AA946" s="96"/>
      <c r="AB946" s="96"/>
      <c r="AC946" s="96"/>
      <c r="AD946" s="96"/>
      <c r="AE946" s="96"/>
      <c r="AF946" s="96"/>
      <c r="AG946" s="96"/>
      <c r="AH946" s="96"/>
      <c r="AI946" s="96"/>
      <c r="AJ946" s="96"/>
      <c r="AK946" s="96"/>
      <c r="AL946" s="96"/>
      <c r="AM946" s="96"/>
      <c r="AN946" s="96"/>
      <c r="AO946" s="96"/>
      <c r="AP946" s="96"/>
      <c r="AQ946" s="96"/>
      <c r="AR946" s="140"/>
      <c r="AS946" s="140"/>
    </row>
    <row r="947" spans="23:45">
      <c r="W947" s="96"/>
      <c r="X947" s="96"/>
      <c r="Y947" s="96"/>
      <c r="Z947" s="96"/>
      <c r="AA947" s="96"/>
      <c r="AB947" s="96"/>
      <c r="AC947" s="96"/>
      <c r="AD947" s="96"/>
      <c r="AE947" s="96"/>
      <c r="AF947" s="96"/>
      <c r="AG947" s="96"/>
      <c r="AH947" s="96"/>
      <c r="AI947" s="96"/>
      <c r="AJ947" s="96"/>
      <c r="AK947" s="96"/>
      <c r="AL947" s="96"/>
      <c r="AM947" s="96"/>
      <c r="AN947" s="96"/>
      <c r="AO947" s="96"/>
      <c r="AP947" s="96"/>
      <c r="AQ947" s="96"/>
      <c r="AR947" s="140"/>
      <c r="AS947" s="140"/>
    </row>
    <row r="948" spans="23:45">
      <c r="W948" s="96"/>
      <c r="X948" s="96"/>
      <c r="Y948" s="96"/>
      <c r="Z948" s="96"/>
      <c r="AA948" s="96"/>
      <c r="AB948" s="96"/>
      <c r="AC948" s="96"/>
      <c r="AD948" s="96"/>
      <c r="AE948" s="96"/>
      <c r="AF948" s="96"/>
      <c r="AG948" s="96"/>
      <c r="AH948" s="96"/>
      <c r="AI948" s="96"/>
      <c r="AJ948" s="96"/>
      <c r="AK948" s="96"/>
      <c r="AL948" s="96"/>
      <c r="AM948" s="96"/>
      <c r="AN948" s="96"/>
      <c r="AO948" s="96"/>
      <c r="AP948" s="96"/>
      <c r="AQ948" s="96"/>
      <c r="AR948" s="140"/>
      <c r="AS948" s="140"/>
    </row>
    <row r="949" spans="23:45">
      <c r="W949" s="96"/>
      <c r="X949" s="96"/>
      <c r="Y949" s="96"/>
      <c r="Z949" s="96"/>
      <c r="AA949" s="96"/>
      <c r="AB949" s="96"/>
      <c r="AC949" s="96"/>
      <c r="AD949" s="96"/>
      <c r="AE949" s="96"/>
      <c r="AF949" s="96"/>
      <c r="AG949" s="96"/>
      <c r="AH949" s="96"/>
      <c r="AI949" s="96"/>
      <c r="AJ949" s="96"/>
      <c r="AK949" s="96"/>
      <c r="AL949" s="96"/>
      <c r="AM949" s="96"/>
      <c r="AN949" s="96"/>
      <c r="AO949" s="96"/>
      <c r="AP949" s="96"/>
      <c r="AQ949" s="96"/>
      <c r="AR949" s="140"/>
      <c r="AS949" s="140"/>
    </row>
    <row r="950" spans="23:45">
      <c r="W950" s="96"/>
      <c r="X950" s="96"/>
      <c r="Y950" s="96"/>
      <c r="Z950" s="96"/>
      <c r="AA950" s="96"/>
      <c r="AB950" s="96"/>
      <c r="AC950" s="96"/>
      <c r="AD950" s="96"/>
      <c r="AE950" s="96"/>
      <c r="AF950" s="96"/>
      <c r="AG950" s="96"/>
      <c r="AH950" s="96"/>
      <c r="AI950" s="96"/>
      <c r="AJ950" s="96"/>
      <c r="AK950" s="96"/>
      <c r="AL950" s="96"/>
      <c r="AM950" s="96"/>
      <c r="AN950" s="96"/>
      <c r="AO950" s="96"/>
      <c r="AP950" s="96"/>
      <c r="AQ950" s="96"/>
      <c r="AR950" s="140"/>
      <c r="AS950" s="140"/>
    </row>
    <row r="951" spans="23:45">
      <c r="W951" s="96"/>
      <c r="X951" s="96"/>
      <c r="Y951" s="96"/>
      <c r="Z951" s="96"/>
      <c r="AA951" s="96"/>
      <c r="AB951" s="96"/>
      <c r="AC951" s="96"/>
      <c r="AD951" s="96"/>
      <c r="AE951" s="96"/>
      <c r="AF951" s="96"/>
      <c r="AG951" s="96"/>
      <c r="AH951" s="96"/>
      <c r="AI951" s="96"/>
      <c r="AJ951" s="96"/>
      <c r="AK951" s="96"/>
      <c r="AL951" s="96"/>
      <c r="AM951" s="96"/>
      <c r="AN951" s="96"/>
      <c r="AO951" s="96"/>
      <c r="AP951" s="96"/>
      <c r="AQ951" s="96"/>
      <c r="AR951" s="140"/>
      <c r="AS951" s="140"/>
    </row>
    <row r="952" spans="23:45">
      <c r="W952" s="96"/>
      <c r="X952" s="96"/>
      <c r="Y952" s="96"/>
      <c r="Z952" s="96"/>
      <c r="AA952" s="96"/>
      <c r="AB952" s="96"/>
      <c r="AC952" s="96"/>
      <c r="AD952" s="96"/>
      <c r="AE952" s="96"/>
      <c r="AF952" s="96"/>
      <c r="AG952" s="96"/>
      <c r="AH952" s="96"/>
      <c r="AI952" s="96"/>
      <c r="AJ952" s="96"/>
      <c r="AK952" s="96"/>
      <c r="AL952" s="96"/>
      <c r="AM952" s="96"/>
      <c r="AN952" s="96"/>
      <c r="AO952" s="96"/>
      <c r="AP952" s="96"/>
      <c r="AQ952" s="96"/>
      <c r="AR952" s="140"/>
      <c r="AS952" s="140"/>
    </row>
    <row r="953" spans="23:45">
      <c r="W953" s="96"/>
      <c r="X953" s="96"/>
      <c r="Y953" s="96"/>
      <c r="Z953" s="96"/>
      <c r="AA953" s="96"/>
      <c r="AB953" s="96"/>
      <c r="AC953" s="96"/>
      <c r="AD953" s="96"/>
      <c r="AE953" s="96"/>
      <c r="AF953" s="96"/>
      <c r="AG953" s="96"/>
      <c r="AH953" s="96"/>
      <c r="AI953" s="96"/>
      <c r="AJ953" s="96"/>
      <c r="AK953" s="96"/>
      <c r="AL953" s="96"/>
      <c r="AM953" s="96"/>
      <c r="AN953" s="96"/>
      <c r="AO953" s="96"/>
      <c r="AP953" s="96"/>
      <c r="AQ953" s="96"/>
      <c r="AR953" s="140"/>
      <c r="AS953" s="140"/>
    </row>
    <row r="954" spans="23:45">
      <c r="W954" s="96"/>
      <c r="X954" s="96"/>
      <c r="Y954" s="96"/>
      <c r="Z954" s="96"/>
      <c r="AA954" s="96"/>
      <c r="AB954" s="96"/>
      <c r="AC954" s="96"/>
      <c r="AD954" s="96"/>
      <c r="AE954" s="96"/>
      <c r="AF954" s="96"/>
      <c r="AG954" s="96"/>
      <c r="AH954" s="96"/>
      <c r="AI954" s="96"/>
      <c r="AJ954" s="96"/>
      <c r="AK954" s="96"/>
      <c r="AL954" s="96"/>
      <c r="AM954" s="96"/>
      <c r="AN954" s="96"/>
      <c r="AO954" s="96"/>
      <c r="AP954" s="96"/>
      <c r="AQ954" s="96"/>
      <c r="AR954" s="140"/>
      <c r="AS954" s="140"/>
    </row>
    <row r="955" spans="23:45">
      <c r="W955" s="96"/>
      <c r="X955" s="96"/>
      <c r="Y955" s="96"/>
      <c r="Z955" s="96"/>
      <c r="AA955" s="96"/>
      <c r="AB955" s="96"/>
      <c r="AC955" s="96"/>
      <c r="AD955" s="96"/>
      <c r="AE955" s="96"/>
      <c r="AF955" s="96"/>
      <c r="AG955" s="96"/>
      <c r="AH955" s="96"/>
      <c r="AI955" s="96"/>
      <c r="AJ955" s="96"/>
      <c r="AK955" s="96"/>
      <c r="AL955" s="96"/>
      <c r="AM955" s="96"/>
      <c r="AN955" s="96"/>
      <c r="AO955" s="96"/>
      <c r="AP955" s="96"/>
      <c r="AQ955" s="96"/>
      <c r="AR955" s="140"/>
      <c r="AS955" s="140"/>
    </row>
    <row r="956" spans="23:45">
      <c r="W956" s="96"/>
      <c r="X956" s="96"/>
      <c r="Y956" s="96"/>
      <c r="Z956" s="96"/>
      <c r="AA956" s="96"/>
      <c r="AB956" s="96"/>
      <c r="AC956" s="96"/>
      <c r="AD956" s="96"/>
      <c r="AE956" s="96"/>
      <c r="AF956" s="96"/>
      <c r="AG956" s="96"/>
      <c r="AH956" s="96"/>
      <c r="AI956" s="96"/>
      <c r="AJ956" s="96"/>
      <c r="AK956" s="96"/>
      <c r="AL956" s="96"/>
      <c r="AM956" s="96"/>
      <c r="AN956" s="96"/>
      <c r="AO956" s="96"/>
      <c r="AP956" s="96"/>
      <c r="AQ956" s="96"/>
      <c r="AR956" s="140"/>
      <c r="AS956" s="140"/>
    </row>
    <row r="957" spans="23:45">
      <c r="W957" s="96"/>
      <c r="X957" s="96"/>
      <c r="Y957" s="96"/>
      <c r="Z957" s="96"/>
      <c r="AA957" s="96"/>
      <c r="AB957" s="96"/>
      <c r="AC957" s="96"/>
      <c r="AD957" s="96"/>
      <c r="AE957" s="96"/>
      <c r="AF957" s="96"/>
      <c r="AG957" s="96"/>
      <c r="AH957" s="96"/>
      <c r="AI957" s="96"/>
      <c r="AJ957" s="96"/>
      <c r="AK957" s="96"/>
      <c r="AL957" s="96"/>
      <c r="AM957" s="96"/>
      <c r="AN957" s="96"/>
      <c r="AO957" s="96"/>
      <c r="AP957" s="96"/>
      <c r="AQ957" s="96"/>
      <c r="AR957" s="140"/>
      <c r="AS957" s="140"/>
    </row>
    <row r="958" spans="23:45">
      <c r="W958" s="96"/>
      <c r="X958" s="96"/>
      <c r="Y958" s="96"/>
      <c r="Z958" s="96"/>
      <c r="AA958" s="96"/>
      <c r="AB958" s="96"/>
      <c r="AC958" s="96"/>
      <c r="AD958" s="96"/>
      <c r="AE958" s="96"/>
      <c r="AF958" s="96"/>
      <c r="AG958" s="96"/>
      <c r="AH958" s="96"/>
      <c r="AI958" s="96"/>
      <c r="AJ958" s="96"/>
      <c r="AK958" s="96"/>
      <c r="AL958" s="96"/>
      <c r="AM958" s="96"/>
      <c r="AN958" s="96"/>
      <c r="AO958" s="96"/>
      <c r="AP958" s="96"/>
      <c r="AQ958" s="96"/>
      <c r="AR958" s="140"/>
      <c r="AS958" s="140"/>
    </row>
    <row r="959" spans="23:45">
      <c r="W959" s="96"/>
      <c r="X959" s="96"/>
      <c r="Y959" s="96"/>
      <c r="Z959" s="96"/>
      <c r="AA959" s="96"/>
      <c r="AB959" s="96"/>
      <c r="AC959" s="96"/>
      <c r="AD959" s="96"/>
      <c r="AE959" s="96"/>
      <c r="AF959" s="96"/>
      <c r="AG959" s="96"/>
      <c r="AH959" s="96"/>
      <c r="AI959" s="96"/>
      <c r="AJ959" s="96"/>
      <c r="AK959" s="96"/>
      <c r="AL959" s="96"/>
      <c r="AM959" s="96"/>
      <c r="AN959" s="96"/>
      <c r="AO959" s="96"/>
      <c r="AP959" s="96"/>
      <c r="AQ959" s="96"/>
      <c r="AR959" s="140"/>
      <c r="AS959" s="140"/>
    </row>
    <row r="960" spans="23:45">
      <c r="W960" s="96"/>
      <c r="X960" s="96"/>
      <c r="Y960" s="96"/>
      <c r="Z960" s="96"/>
      <c r="AA960" s="96"/>
      <c r="AB960" s="96"/>
      <c r="AC960" s="96"/>
      <c r="AD960" s="96"/>
      <c r="AE960" s="96"/>
      <c r="AF960" s="96"/>
      <c r="AG960" s="96"/>
      <c r="AH960" s="96"/>
      <c r="AI960" s="96"/>
      <c r="AJ960" s="96"/>
      <c r="AK960" s="96"/>
      <c r="AL960" s="96"/>
      <c r="AM960" s="96"/>
      <c r="AN960" s="96"/>
      <c r="AO960" s="96"/>
      <c r="AP960" s="96"/>
      <c r="AQ960" s="96"/>
      <c r="AR960" s="140"/>
      <c r="AS960" s="140"/>
    </row>
    <row r="961" spans="23:45">
      <c r="W961" s="96"/>
      <c r="X961" s="96"/>
      <c r="Y961" s="96"/>
      <c r="Z961" s="96"/>
      <c r="AA961" s="96"/>
      <c r="AB961" s="96"/>
      <c r="AC961" s="96"/>
      <c r="AD961" s="96"/>
      <c r="AE961" s="96"/>
      <c r="AF961" s="96"/>
      <c r="AG961" s="96"/>
      <c r="AH961" s="96"/>
      <c r="AI961" s="96"/>
      <c r="AJ961" s="96"/>
      <c r="AK961" s="96"/>
      <c r="AL961" s="96"/>
      <c r="AM961" s="96"/>
      <c r="AN961" s="96"/>
      <c r="AO961" s="96"/>
      <c r="AP961" s="96"/>
      <c r="AQ961" s="96"/>
      <c r="AR961" s="140"/>
      <c r="AS961" s="140"/>
    </row>
    <row r="962" spans="23:45">
      <c r="W962" s="96"/>
      <c r="X962" s="96"/>
      <c r="Y962" s="96"/>
      <c r="Z962" s="96"/>
      <c r="AA962" s="96"/>
      <c r="AB962" s="96"/>
      <c r="AC962" s="96"/>
      <c r="AD962" s="96"/>
      <c r="AE962" s="96"/>
      <c r="AF962" s="96"/>
      <c r="AG962" s="96"/>
      <c r="AH962" s="96"/>
      <c r="AI962" s="96"/>
      <c r="AJ962" s="96"/>
      <c r="AK962" s="96"/>
      <c r="AL962" s="96"/>
      <c r="AM962" s="96"/>
      <c r="AN962" s="96"/>
      <c r="AO962" s="96"/>
      <c r="AP962" s="96"/>
      <c r="AQ962" s="96"/>
      <c r="AR962" s="140"/>
      <c r="AS962" s="140"/>
    </row>
    <row r="963" spans="23:45">
      <c r="W963" s="96"/>
      <c r="X963" s="96"/>
      <c r="Y963" s="96"/>
      <c r="Z963" s="96"/>
      <c r="AA963" s="96"/>
      <c r="AB963" s="96"/>
      <c r="AC963" s="96"/>
      <c r="AD963" s="96"/>
      <c r="AE963" s="96"/>
      <c r="AF963" s="96"/>
      <c r="AG963" s="96"/>
      <c r="AH963" s="96"/>
      <c r="AI963" s="96"/>
      <c r="AJ963" s="96"/>
      <c r="AK963" s="96"/>
      <c r="AL963" s="96"/>
      <c r="AM963" s="96"/>
      <c r="AN963" s="96"/>
      <c r="AO963" s="96"/>
      <c r="AP963" s="96"/>
      <c r="AQ963" s="96"/>
      <c r="AR963" s="140"/>
      <c r="AS963" s="140"/>
    </row>
    <row r="964" spans="23:45">
      <c r="W964" s="96"/>
      <c r="X964" s="96"/>
      <c r="Y964" s="96"/>
      <c r="Z964" s="96"/>
      <c r="AA964" s="96"/>
      <c r="AB964" s="96"/>
      <c r="AC964" s="96"/>
      <c r="AD964" s="96"/>
      <c r="AE964" s="96"/>
      <c r="AF964" s="96"/>
      <c r="AG964" s="96"/>
      <c r="AH964" s="96"/>
      <c r="AI964" s="96"/>
      <c r="AJ964" s="96"/>
      <c r="AK964" s="96"/>
      <c r="AL964" s="96"/>
      <c r="AM964" s="96"/>
      <c r="AN964" s="96"/>
      <c r="AO964" s="96"/>
      <c r="AP964" s="96"/>
      <c r="AQ964" s="96"/>
      <c r="AR964" s="140"/>
      <c r="AS964" s="140"/>
    </row>
    <row r="965" spans="23:45">
      <c r="W965" s="96"/>
      <c r="X965" s="96"/>
      <c r="Y965" s="96"/>
      <c r="Z965" s="96"/>
      <c r="AA965" s="96"/>
      <c r="AB965" s="96"/>
      <c r="AC965" s="96"/>
      <c r="AD965" s="96"/>
      <c r="AE965" s="96"/>
      <c r="AF965" s="96"/>
      <c r="AG965" s="96"/>
      <c r="AH965" s="96"/>
      <c r="AI965" s="96"/>
      <c r="AJ965" s="96"/>
      <c r="AK965" s="96"/>
      <c r="AL965" s="96"/>
      <c r="AM965" s="96"/>
      <c r="AN965" s="96"/>
      <c r="AO965" s="96"/>
      <c r="AP965" s="96"/>
      <c r="AQ965" s="96"/>
      <c r="AR965" s="140"/>
      <c r="AS965" s="140"/>
    </row>
    <row r="966" spans="23:45">
      <c r="W966" s="96"/>
      <c r="X966" s="96"/>
      <c r="Y966" s="96"/>
      <c r="Z966" s="96"/>
      <c r="AA966" s="96"/>
      <c r="AB966" s="96"/>
      <c r="AC966" s="96"/>
      <c r="AD966" s="96"/>
      <c r="AE966" s="96"/>
      <c r="AF966" s="96"/>
      <c r="AG966" s="96"/>
      <c r="AH966" s="96"/>
      <c r="AI966" s="96"/>
      <c r="AJ966" s="96"/>
      <c r="AK966" s="96"/>
      <c r="AL966" s="96"/>
      <c r="AM966" s="96"/>
      <c r="AN966" s="96"/>
      <c r="AO966" s="96"/>
      <c r="AP966" s="96"/>
      <c r="AQ966" s="96"/>
      <c r="AR966" s="140"/>
      <c r="AS966" s="140"/>
    </row>
    <row r="967" spans="23:45">
      <c r="W967" s="96"/>
      <c r="X967" s="96"/>
      <c r="Y967" s="96"/>
      <c r="Z967" s="96"/>
      <c r="AA967" s="96"/>
      <c r="AB967" s="96"/>
      <c r="AC967" s="96"/>
      <c r="AD967" s="96"/>
      <c r="AE967" s="96"/>
      <c r="AF967" s="96"/>
      <c r="AG967" s="96"/>
      <c r="AH967" s="96"/>
      <c r="AI967" s="96"/>
      <c r="AJ967" s="96"/>
      <c r="AK967" s="96"/>
      <c r="AL967" s="96"/>
      <c r="AM967" s="96"/>
      <c r="AN967" s="96"/>
      <c r="AO967" s="96"/>
      <c r="AP967" s="96"/>
      <c r="AQ967" s="96"/>
      <c r="AR967" s="140"/>
      <c r="AS967" s="140"/>
    </row>
    <row r="968" spans="23:45">
      <c r="W968" s="96"/>
      <c r="X968" s="96"/>
      <c r="Y968" s="96"/>
      <c r="Z968" s="96"/>
      <c r="AA968" s="96"/>
      <c r="AB968" s="96"/>
      <c r="AC968" s="96"/>
      <c r="AD968" s="96"/>
      <c r="AE968" s="96"/>
      <c r="AF968" s="96"/>
      <c r="AG968" s="96"/>
      <c r="AH968" s="96"/>
      <c r="AI968" s="96"/>
      <c r="AJ968" s="96"/>
      <c r="AK968" s="96"/>
      <c r="AL968" s="96"/>
      <c r="AM968" s="96"/>
      <c r="AN968" s="96"/>
      <c r="AO968" s="96"/>
      <c r="AP968" s="96"/>
      <c r="AQ968" s="96"/>
      <c r="AR968" s="140"/>
      <c r="AS968" s="140"/>
    </row>
    <row r="969" spans="23:45">
      <c r="W969" s="96"/>
      <c r="X969" s="96"/>
      <c r="Y969" s="96"/>
      <c r="Z969" s="96"/>
      <c r="AA969" s="96"/>
      <c r="AB969" s="96"/>
      <c r="AC969" s="96"/>
      <c r="AD969" s="96"/>
      <c r="AE969" s="96"/>
      <c r="AF969" s="96"/>
      <c r="AG969" s="96"/>
      <c r="AH969" s="96"/>
      <c r="AI969" s="96"/>
      <c r="AJ969" s="96"/>
      <c r="AK969" s="96"/>
      <c r="AL969" s="96"/>
      <c r="AM969" s="96"/>
      <c r="AN969" s="96"/>
      <c r="AO969" s="96"/>
      <c r="AP969" s="96"/>
      <c r="AQ969" s="96"/>
      <c r="AR969" s="140"/>
      <c r="AS969" s="140"/>
    </row>
    <row r="970" spans="23:45">
      <c r="W970" s="96"/>
      <c r="X970" s="96"/>
      <c r="Y970" s="96"/>
      <c r="Z970" s="96"/>
      <c r="AA970" s="96"/>
      <c r="AB970" s="96"/>
      <c r="AC970" s="96"/>
      <c r="AD970" s="96"/>
      <c r="AE970" s="96"/>
      <c r="AF970" s="96"/>
      <c r="AG970" s="96"/>
      <c r="AH970" s="96"/>
      <c r="AI970" s="96"/>
      <c r="AJ970" s="96"/>
      <c r="AK970" s="96"/>
      <c r="AL970" s="96"/>
      <c r="AM970" s="96"/>
      <c r="AN970" s="96"/>
      <c r="AO970" s="96"/>
      <c r="AP970" s="96"/>
      <c r="AQ970" s="96"/>
      <c r="AR970" s="140"/>
      <c r="AS970" s="140"/>
    </row>
    <row r="971" spans="23:45">
      <c r="W971" s="96"/>
      <c r="X971" s="96"/>
      <c r="Y971" s="96"/>
      <c r="Z971" s="96"/>
      <c r="AA971" s="96"/>
      <c r="AB971" s="96"/>
      <c r="AC971" s="96"/>
      <c r="AD971" s="96"/>
      <c r="AE971" s="96"/>
      <c r="AF971" s="96"/>
      <c r="AG971" s="96"/>
      <c r="AH971" s="96"/>
      <c r="AI971" s="96"/>
      <c r="AJ971" s="96"/>
      <c r="AK971" s="96"/>
      <c r="AL971" s="96"/>
      <c r="AM971" s="96"/>
      <c r="AN971" s="96"/>
      <c r="AO971" s="96"/>
      <c r="AP971" s="96"/>
      <c r="AQ971" s="96"/>
      <c r="AR971" s="140"/>
      <c r="AS971" s="140"/>
    </row>
    <row r="972" spans="23:45">
      <c r="W972" s="96"/>
      <c r="X972" s="96"/>
      <c r="Y972" s="96"/>
      <c r="Z972" s="96"/>
      <c r="AA972" s="96"/>
      <c r="AB972" s="96"/>
      <c r="AC972" s="96"/>
      <c r="AD972" s="96"/>
      <c r="AE972" s="96"/>
      <c r="AF972" s="96"/>
      <c r="AG972" s="96"/>
      <c r="AH972" s="96"/>
      <c r="AI972" s="96"/>
      <c r="AJ972" s="96"/>
      <c r="AK972" s="96"/>
      <c r="AL972" s="96"/>
      <c r="AM972" s="96"/>
      <c r="AN972" s="96"/>
      <c r="AO972" s="96"/>
      <c r="AP972" s="96"/>
      <c r="AQ972" s="96"/>
      <c r="AR972" s="140"/>
      <c r="AS972" s="140"/>
    </row>
    <row r="973" spans="23:45">
      <c r="W973" s="96"/>
      <c r="X973" s="96"/>
      <c r="Y973" s="96"/>
      <c r="Z973" s="96"/>
      <c r="AA973" s="96"/>
      <c r="AB973" s="96"/>
      <c r="AC973" s="96"/>
      <c r="AD973" s="96"/>
      <c r="AE973" s="96"/>
      <c r="AF973" s="96"/>
      <c r="AG973" s="96"/>
      <c r="AH973" s="96"/>
      <c r="AI973" s="96"/>
      <c r="AJ973" s="96"/>
      <c r="AK973" s="96"/>
      <c r="AL973" s="96"/>
      <c r="AM973" s="96"/>
      <c r="AN973" s="96"/>
      <c r="AO973" s="96"/>
      <c r="AP973" s="96"/>
      <c r="AQ973" s="96"/>
      <c r="AR973" s="140"/>
      <c r="AS973" s="140"/>
    </row>
    <row r="974" spans="23:45">
      <c r="W974" s="96"/>
      <c r="X974" s="96"/>
      <c r="Y974" s="96"/>
      <c r="Z974" s="96"/>
      <c r="AA974" s="96"/>
      <c r="AB974" s="96"/>
      <c r="AC974" s="96"/>
      <c r="AD974" s="96"/>
      <c r="AE974" s="96"/>
      <c r="AF974" s="96"/>
      <c r="AG974" s="96"/>
      <c r="AH974" s="96"/>
      <c r="AI974" s="96"/>
      <c r="AJ974" s="96"/>
      <c r="AK974" s="96"/>
      <c r="AL974" s="96"/>
      <c r="AM974" s="96"/>
      <c r="AN974" s="96"/>
      <c r="AO974" s="96"/>
      <c r="AP974" s="96"/>
      <c r="AQ974" s="96"/>
      <c r="AR974" s="140"/>
      <c r="AS974" s="140"/>
    </row>
    <row r="975" spans="23:45">
      <c r="W975" s="96"/>
      <c r="X975" s="96"/>
      <c r="Y975" s="96"/>
      <c r="Z975" s="96"/>
      <c r="AA975" s="96"/>
      <c r="AB975" s="96"/>
      <c r="AC975" s="96"/>
      <c r="AD975" s="96"/>
      <c r="AE975" s="96"/>
      <c r="AF975" s="96"/>
      <c r="AG975" s="96"/>
      <c r="AH975" s="96"/>
      <c r="AI975" s="96"/>
      <c r="AJ975" s="96"/>
      <c r="AK975" s="96"/>
      <c r="AL975" s="96"/>
      <c r="AM975" s="96"/>
      <c r="AN975" s="96"/>
      <c r="AO975" s="96"/>
      <c r="AP975" s="96"/>
      <c r="AQ975" s="96"/>
      <c r="AR975" s="140"/>
      <c r="AS975" s="140"/>
    </row>
    <row r="976" spans="23:45">
      <c r="W976" s="96"/>
      <c r="X976" s="96"/>
      <c r="Y976" s="96"/>
      <c r="Z976" s="96"/>
      <c r="AA976" s="96"/>
      <c r="AB976" s="96"/>
      <c r="AC976" s="96"/>
      <c r="AD976" s="96"/>
      <c r="AE976" s="96"/>
      <c r="AF976" s="96"/>
      <c r="AG976" s="96"/>
      <c r="AH976" s="96"/>
      <c r="AI976" s="96"/>
      <c r="AJ976" s="96"/>
      <c r="AK976" s="96"/>
      <c r="AL976" s="96"/>
      <c r="AM976" s="96"/>
      <c r="AN976" s="96"/>
      <c r="AO976" s="96"/>
      <c r="AP976" s="96"/>
      <c r="AQ976" s="96"/>
      <c r="AR976" s="140"/>
      <c r="AS976" s="140"/>
    </row>
    <row r="977" spans="23:45">
      <c r="W977" s="96"/>
      <c r="X977" s="96"/>
      <c r="Y977" s="96"/>
      <c r="Z977" s="96"/>
      <c r="AA977" s="96"/>
      <c r="AB977" s="96"/>
      <c r="AC977" s="96"/>
      <c r="AD977" s="96"/>
      <c r="AE977" s="96"/>
      <c r="AF977" s="96"/>
      <c r="AG977" s="96"/>
      <c r="AH977" s="96"/>
      <c r="AI977" s="96"/>
      <c r="AJ977" s="96"/>
      <c r="AK977" s="96"/>
      <c r="AL977" s="96"/>
      <c r="AM977" s="96"/>
      <c r="AN977" s="96"/>
      <c r="AO977" s="96"/>
      <c r="AP977" s="96"/>
      <c r="AQ977" s="96"/>
      <c r="AR977" s="140"/>
      <c r="AS977" s="140"/>
    </row>
    <row r="978" spans="23:45">
      <c r="W978" s="96"/>
      <c r="X978" s="96"/>
      <c r="Y978" s="96"/>
      <c r="Z978" s="96"/>
      <c r="AA978" s="96"/>
      <c r="AB978" s="96"/>
      <c r="AC978" s="96"/>
      <c r="AD978" s="96"/>
      <c r="AE978" s="96"/>
      <c r="AF978" s="96"/>
      <c r="AG978" s="96"/>
      <c r="AH978" s="96"/>
      <c r="AI978" s="96"/>
      <c r="AJ978" s="96"/>
      <c r="AK978" s="96"/>
      <c r="AL978" s="96"/>
      <c r="AM978" s="96"/>
      <c r="AN978" s="96"/>
      <c r="AO978" s="96"/>
      <c r="AP978" s="96"/>
      <c r="AQ978" s="96"/>
      <c r="AR978" s="140"/>
      <c r="AS978" s="140"/>
    </row>
    <row r="979" spans="23:45">
      <c r="W979" s="96"/>
      <c r="X979" s="96"/>
      <c r="Y979" s="96"/>
      <c r="Z979" s="96"/>
      <c r="AA979" s="96"/>
      <c r="AB979" s="96"/>
      <c r="AC979" s="96"/>
      <c r="AD979" s="96"/>
      <c r="AE979" s="96"/>
      <c r="AF979" s="96"/>
      <c r="AG979" s="96"/>
      <c r="AH979" s="96"/>
      <c r="AI979" s="96"/>
      <c r="AJ979" s="96"/>
      <c r="AK979" s="96"/>
      <c r="AL979" s="96"/>
      <c r="AM979" s="96"/>
      <c r="AN979" s="96"/>
      <c r="AO979" s="96"/>
      <c r="AP979" s="96"/>
      <c r="AQ979" s="96"/>
      <c r="AR979" s="140"/>
      <c r="AS979" s="140"/>
    </row>
    <row r="980" spans="23:45">
      <c r="W980" s="96"/>
      <c r="X980" s="96"/>
      <c r="Y980" s="96"/>
      <c r="Z980" s="96"/>
      <c r="AA980" s="96"/>
      <c r="AB980" s="96"/>
      <c r="AC980" s="96"/>
      <c r="AD980" s="96"/>
      <c r="AE980" s="96"/>
      <c r="AF980" s="96"/>
      <c r="AG980" s="96"/>
      <c r="AH980" s="96"/>
      <c r="AI980" s="96"/>
      <c r="AJ980" s="96"/>
      <c r="AK980" s="96"/>
      <c r="AL980" s="96"/>
      <c r="AM980" s="96"/>
      <c r="AN980" s="96"/>
      <c r="AO980" s="96"/>
      <c r="AP980" s="96"/>
      <c r="AQ980" s="96"/>
      <c r="AR980" s="140"/>
      <c r="AS980" s="140"/>
    </row>
    <row r="981" spans="23:45">
      <c r="W981" s="96"/>
      <c r="X981" s="96"/>
      <c r="Y981" s="96"/>
      <c r="Z981" s="96"/>
      <c r="AA981" s="96"/>
      <c r="AB981" s="96"/>
      <c r="AC981" s="96"/>
      <c r="AD981" s="96"/>
      <c r="AE981" s="96"/>
      <c r="AF981" s="96"/>
      <c r="AG981" s="96"/>
      <c r="AH981" s="96"/>
      <c r="AI981" s="96"/>
      <c r="AJ981" s="96"/>
      <c r="AK981" s="96"/>
      <c r="AL981" s="96"/>
      <c r="AM981" s="96"/>
      <c r="AN981" s="96"/>
      <c r="AO981" s="96"/>
      <c r="AP981" s="96"/>
      <c r="AQ981" s="96"/>
      <c r="AR981" s="140"/>
      <c r="AS981" s="140"/>
    </row>
    <row r="982" spans="23:45">
      <c r="W982" s="96"/>
      <c r="X982" s="96"/>
      <c r="Y982" s="96"/>
      <c r="Z982" s="96"/>
      <c r="AA982" s="96"/>
      <c r="AB982" s="96"/>
      <c r="AC982" s="96"/>
      <c r="AD982" s="96"/>
      <c r="AE982" s="96"/>
      <c r="AF982" s="96"/>
      <c r="AG982" s="96"/>
      <c r="AH982" s="96"/>
      <c r="AI982" s="96"/>
      <c r="AJ982" s="96"/>
      <c r="AK982" s="96"/>
      <c r="AL982" s="96"/>
      <c r="AM982" s="96"/>
      <c r="AN982" s="96"/>
      <c r="AO982" s="96"/>
      <c r="AP982" s="96"/>
      <c r="AQ982" s="96"/>
      <c r="AR982" s="140"/>
      <c r="AS982" s="140"/>
    </row>
    <row r="983" spans="23:45">
      <c r="W983" s="96"/>
      <c r="X983" s="96"/>
      <c r="Y983" s="96"/>
      <c r="Z983" s="96"/>
      <c r="AA983" s="96"/>
      <c r="AB983" s="96"/>
      <c r="AC983" s="96"/>
      <c r="AD983" s="96"/>
      <c r="AE983" s="96"/>
      <c r="AF983" s="96"/>
      <c r="AG983" s="96"/>
      <c r="AH983" s="96"/>
      <c r="AI983" s="96"/>
      <c r="AJ983" s="96"/>
      <c r="AK983" s="96"/>
      <c r="AL983" s="96"/>
      <c r="AM983" s="96"/>
      <c r="AN983" s="96"/>
      <c r="AO983" s="96"/>
      <c r="AP983" s="96"/>
      <c r="AQ983" s="96"/>
      <c r="AR983" s="140"/>
      <c r="AS983" s="140"/>
    </row>
    <row r="984" spans="23:45">
      <c r="W984" s="96"/>
      <c r="X984" s="96"/>
      <c r="Y984" s="96"/>
      <c r="Z984" s="96"/>
      <c r="AA984" s="96"/>
      <c r="AB984" s="96"/>
      <c r="AC984" s="96"/>
      <c r="AD984" s="96"/>
      <c r="AE984" s="96"/>
      <c r="AF984" s="96"/>
      <c r="AG984" s="96"/>
      <c r="AH984" s="96"/>
      <c r="AI984" s="96"/>
      <c r="AJ984" s="96"/>
      <c r="AK984" s="96"/>
      <c r="AL984" s="96"/>
      <c r="AM984" s="96"/>
      <c r="AN984" s="96"/>
      <c r="AO984" s="96"/>
      <c r="AP984" s="96"/>
      <c r="AQ984" s="96"/>
      <c r="AR984" s="140"/>
      <c r="AS984" s="140"/>
    </row>
    <row r="985" spans="23:45">
      <c r="W985" s="96"/>
      <c r="X985" s="96"/>
      <c r="Y985" s="96"/>
      <c r="Z985" s="96"/>
      <c r="AA985" s="96"/>
      <c r="AB985" s="96"/>
      <c r="AC985" s="96"/>
      <c r="AD985" s="96"/>
      <c r="AE985" s="96"/>
      <c r="AF985" s="96"/>
      <c r="AG985" s="96"/>
      <c r="AH985" s="96"/>
      <c r="AI985" s="96"/>
      <c r="AJ985" s="96"/>
      <c r="AK985" s="96"/>
      <c r="AL985" s="96"/>
      <c r="AM985" s="96"/>
      <c r="AN985" s="96"/>
      <c r="AO985" s="96"/>
      <c r="AP985" s="96"/>
      <c r="AQ985" s="96"/>
      <c r="AR985" s="140"/>
      <c r="AS985" s="140"/>
    </row>
    <row r="986" spans="23:45">
      <c r="W986" s="96"/>
      <c r="X986" s="96"/>
      <c r="Y986" s="96"/>
      <c r="Z986" s="96"/>
      <c r="AA986" s="96"/>
      <c r="AB986" s="96"/>
      <c r="AC986" s="96"/>
      <c r="AD986" s="96"/>
      <c r="AE986" s="96"/>
      <c r="AF986" s="96"/>
      <c r="AG986" s="96"/>
      <c r="AH986" s="96"/>
      <c r="AI986" s="96"/>
      <c r="AJ986" s="96"/>
      <c r="AK986" s="96"/>
      <c r="AL986" s="96"/>
      <c r="AM986" s="96"/>
      <c r="AN986" s="96"/>
      <c r="AO986" s="96"/>
      <c r="AP986" s="96"/>
      <c r="AQ986" s="96"/>
      <c r="AR986" s="140"/>
      <c r="AS986" s="140"/>
    </row>
    <row r="987" spans="23:45">
      <c r="W987" s="96"/>
      <c r="X987" s="96"/>
      <c r="Y987" s="96"/>
      <c r="Z987" s="96"/>
      <c r="AA987" s="96"/>
      <c r="AB987" s="96"/>
      <c r="AC987" s="96"/>
      <c r="AD987" s="96"/>
      <c r="AE987" s="96"/>
      <c r="AF987" s="96"/>
      <c r="AG987" s="96"/>
      <c r="AH987" s="96"/>
      <c r="AI987" s="96"/>
      <c r="AJ987" s="96"/>
      <c r="AK987" s="96"/>
      <c r="AL987" s="96"/>
      <c r="AM987" s="96"/>
      <c r="AN987" s="96"/>
      <c r="AO987" s="96"/>
      <c r="AP987" s="96"/>
      <c r="AQ987" s="96"/>
      <c r="AR987" s="140"/>
      <c r="AS987" s="140"/>
    </row>
    <row r="988" spans="23:45">
      <c r="W988" s="96"/>
      <c r="X988" s="96"/>
      <c r="Y988" s="96"/>
      <c r="Z988" s="96"/>
      <c r="AA988" s="96"/>
      <c r="AB988" s="96"/>
      <c r="AC988" s="96"/>
      <c r="AD988" s="96"/>
      <c r="AE988" s="96"/>
      <c r="AF988" s="96"/>
      <c r="AG988" s="96"/>
      <c r="AH988" s="96"/>
      <c r="AI988" s="96"/>
      <c r="AJ988" s="96"/>
      <c r="AK988" s="96"/>
      <c r="AL988" s="96"/>
      <c r="AM988" s="96"/>
      <c r="AN988" s="96"/>
      <c r="AO988" s="96"/>
      <c r="AP988" s="96"/>
      <c r="AQ988" s="96"/>
      <c r="AR988" s="140"/>
      <c r="AS988" s="140"/>
    </row>
    <row r="989" spans="23:45">
      <c r="W989" s="96"/>
      <c r="X989" s="96"/>
      <c r="Y989" s="96"/>
      <c r="Z989" s="96"/>
      <c r="AA989" s="96"/>
      <c r="AB989" s="96"/>
      <c r="AC989" s="96"/>
      <c r="AD989" s="96"/>
      <c r="AE989" s="96"/>
      <c r="AF989" s="96"/>
      <c r="AG989" s="96"/>
      <c r="AH989" s="96"/>
      <c r="AI989" s="96"/>
      <c r="AJ989" s="96"/>
      <c r="AK989" s="96"/>
      <c r="AL989" s="96"/>
      <c r="AM989" s="96"/>
      <c r="AN989" s="96"/>
      <c r="AO989" s="96"/>
      <c r="AP989" s="96"/>
      <c r="AQ989" s="96"/>
      <c r="AR989" s="140"/>
      <c r="AS989" s="140"/>
    </row>
    <row r="990" spans="23:45">
      <c r="W990" s="96"/>
      <c r="X990" s="96"/>
      <c r="Y990" s="96"/>
      <c r="Z990" s="96"/>
      <c r="AA990" s="96"/>
      <c r="AB990" s="96"/>
      <c r="AC990" s="96"/>
      <c r="AD990" s="96"/>
      <c r="AE990" s="96"/>
      <c r="AF990" s="96"/>
      <c r="AG990" s="96"/>
      <c r="AH990" s="96"/>
      <c r="AI990" s="96"/>
      <c r="AJ990" s="96"/>
      <c r="AK990" s="96"/>
      <c r="AL990" s="96"/>
      <c r="AM990" s="96"/>
      <c r="AN990" s="96"/>
      <c r="AO990" s="96"/>
      <c r="AP990" s="96"/>
      <c r="AQ990" s="96"/>
      <c r="AR990" s="140"/>
      <c r="AS990" s="140"/>
    </row>
    <row r="991" spans="23:45">
      <c r="W991" s="96"/>
      <c r="X991" s="96"/>
      <c r="Y991" s="96"/>
      <c r="Z991" s="96"/>
      <c r="AA991" s="96"/>
      <c r="AB991" s="96"/>
      <c r="AC991" s="96"/>
      <c r="AD991" s="96"/>
      <c r="AE991" s="96"/>
      <c r="AF991" s="96"/>
      <c r="AG991" s="96"/>
      <c r="AH991" s="96"/>
      <c r="AI991" s="96"/>
      <c r="AJ991" s="96"/>
      <c r="AK991" s="96"/>
      <c r="AL991" s="96"/>
      <c r="AM991" s="96"/>
      <c r="AN991" s="96"/>
      <c r="AO991" s="96"/>
      <c r="AP991" s="96"/>
      <c r="AQ991" s="96"/>
      <c r="AR991" s="140"/>
      <c r="AS991" s="140"/>
    </row>
    <row r="992" spans="23:45">
      <c r="W992" s="96"/>
      <c r="X992" s="96"/>
      <c r="Y992" s="96"/>
      <c r="Z992" s="96"/>
      <c r="AA992" s="96"/>
      <c r="AB992" s="96"/>
      <c r="AC992" s="96"/>
      <c r="AD992" s="96"/>
      <c r="AE992" s="96"/>
      <c r="AF992" s="96"/>
      <c r="AG992" s="96"/>
      <c r="AH992" s="96"/>
      <c r="AI992" s="96"/>
      <c r="AJ992" s="96"/>
      <c r="AK992" s="96"/>
      <c r="AL992" s="96"/>
      <c r="AM992" s="96"/>
      <c r="AN992" s="96"/>
      <c r="AO992" s="96"/>
      <c r="AP992" s="96"/>
      <c r="AQ992" s="96"/>
      <c r="AR992" s="140"/>
      <c r="AS992" s="140"/>
    </row>
    <row r="993" spans="23:45">
      <c r="W993" s="96"/>
      <c r="X993" s="96"/>
      <c r="Y993" s="96"/>
      <c r="Z993" s="96"/>
      <c r="AA993" s="96"/>
      <c r="AB993" s="96"/>
      <c r="AC993" s="96"/>
      <c r="AD993" s="96"/>
      <c r="AE993" s="96"/>
      <c r="AF993" s="96"/>
      <c r="AG993" s="96"/>
      <c r="AH993" s="96"/>
      <c r="AI993" s="96"/>
      <c r="AJ993" s="96"/>
      <c r="AK993" s="96"/>
      <c r="AL993" s="96"/>
      <c r="AM993" s="96"/>
      <c r="AN993" s="96"/>
      <c r="AO993" s="96"/>
      <c r="AP993" s="96"/>
      <c r="AQ993" s="96"/>
      <c r="AR993" s="140"/>
      <c r="AS993" s="140"/>
    </row>
    <row r="994" spans="23:45">
      <c r="W994" s="96"/>
      <c r="X994" s="96"/>
      <c r="Y994" s="96"/>
      <c r="Z994" s="96"/>
      <c r="AA994" s="96"/>
      <c r="AB994" s="96"/>
      <c r="AC994" s="96"/>
      <c r="AD994" s="96"/>
      <c r="AE994" s="96"/>
      <c r="AF994" s="96"/>
      <c r="AG994" s="96"/>
      <c r="AH994" s="96"/>
      <c r="AI994" s="96"/>
      <c r="AJ994" s="96"/>
      <c r="AK994" s="96"/>
      <c r="AL994" s="96"/>
      <c r="AM994" s="96"/>
      <c r="AN994" s="96"/>
      <c r="AO994" s="96"/>
      <c r="AP994" s="96"/>
      <c r="AQ994" s="96"/>
      <c r="AR994" s="140"/>
      <c r="AS994" s="140"/>
    </row>
    <row r="995" spans="23:45">
      <c r="W995" s="96"/>
      <c r="X995" s="96"/>
      <c r="Y995" s="96"/>
      <c r="Z995" s="96"/>
      <c r="AA995" s="96"/>
      <c r="AB995" s="96"/>
      <c r="AC995" s="96"/>
      <c r="AD995" s="96"/>
      <c r="AE995" s="96"/>
      <c r="AF995" s="96"/>
      <c r="AG995" s="96"/>
      <c r="AH995" s="96"/>
      <c r="AI995" s="96"/>
      <c r="AJ995" s="96"/>
      <c r="AK995" s="96"/>
      <c r="AL995" s="96"/>
      <c r="AM995" s="96"/>
      <c r="AN995" s="96"/>
      <c r="AO995" s="96"/>
      <c r="AP995" s="96"/>
      <c r="AQ995" s="96"/>
      <c r="AR995" s="140"/>
      <c r="AS995" s="140"/>
    </row>
    <row r="996" spans="23:45">
      <c r="W996" s="96"/>
      <c r="X996" s="96"/>
      <c r="Y996" s="96"/>
      <c r="Z996" s="96"/>
      <c r="AA996" s="96"/>
      <c r="AB996" s="96"/>
      <c r="AC996" s="96"/>
      <c r="AD996" s="96"/>
      <c r="AE996" s="96"/>
      <c r="AF996" s="96"/>
      <c r="AG996" s="96"/>
      <c r="AH996" s="96"/>
      <c r="AI996" s="96"/>
      <c r="AJ996" s="96"/>
      <c r="AK996" s="96"/>
      <c r="AL996" s="96"/>
      <c r="AM996" s="96"/>
      <c r="AN996" s="96"/>
      <c r="AO996" s="96"/>
      <c r="AP996" s="96"/>
      <c r="AQ996" s="96"/>
      <c r="AR996" s="140"/>
      <c r="AS996" s="140"/>
    </row>
    <row r="997" spans="23:45">
      <c r="W997" s="96"/>
      <c r="X997" s="96"/>
      <c r="Y997" s="96"/>
      <c r="Z997" s="96"/>
      <c r="AA997" s="96"/>
      <c r="AB997" s="96"/>
      <c r="AC997" s="96"/>
      <c r="AD997" s="96"/>
      <c r="AE997" s="96"/>
      <c r="AF997" s="96"/>
      <c r="AG997" s="96"/>
      <c r="AH997" s="96"/>
      <c r="AI997" s="96"/>
      <c r="AJ997" s="96"/>
      <c r="AK997" s="96"/>
      <c r="AL997" s="96"/>
      <c r="AM997" s="96"/>
      <c r="AN997" s="96"/>
      <c r="AO997" s="96"/>
      <c r="AP997" s="96"/>
      <c r="AQ997" s="96"/>
      <c r="AR997" s="140"/>
      <c r="AS997" s="140"/>
    </row>
    <row r="998" spans="23:45">
      <c r="W998" s="96"/>
      <c r="X998" s="96"/>
      <c r="Y998" s="96"/>
      <c r="Z998" s="96"/>
      <c r="AA998" s="96"/>
      <c r="AB998" s="96"/>
      <c r="AC998" s="96"/>
      <c r="AD998" s="96"/>
      <c r="AE998" s="96"/>
      <c r="AF998" s="96"/>
      <c r="AG998" s="96"/>
      <c r="AH998" s="96"/>
      <c r="AI998" s="96"/>
      <c r="AJ998" s="96"/>
      <c r="AK998" s="96"/>
      <c r="AL998" s="96"/>
      <c r="AM998" s="96"/>
      <c r="AN998" s="96"/>
      <c r="AO998" s="96"/>
      <c r="AP998" s="96"/>
      <c r="AQ998" s="96"/>
      <c r="AR998" s="140"/>
      <c r="AS998" s="140"/>
    </row>
    <row r="999" spans="23:45">
      <c r="W999" s="96"/>
      <c r="X999" s="96"/>
      <c r="Y999" s="96"/>
      <c r="Z999" s="96"/>
      <c r="AA999" s="96"/>
      <c r="AB999" s="96"/>
      <c r="AC999" s="96"/>
      <c r="AD999" s="96"/>
      <c r="AE999" s="96"/>
      <c r="AF999" s="96"/>
      <c r="AG999" s="96"/>
      <c r="AH999" s="96"/>
      <c r="AI999" s="96"/>
      <c r="AJ999" s="96"/>
      <c r="AK999" s="96"/>
      <c r="AL999" s="96"/>
      <c r="AM999" s="96"/>
      <c r="AN999" s="96"/>
      <c r="AO999" s="96"/>
      <c r="AP999" s="96"/>
      <c r="AQ999" s="96"/>
      <c r="AR999" s="140"/>
      <c r="AS999" s="140"/>
    </row>
    <row r="1000" spans="23:45">
      <c r="W1000" s="96"/>
      <c r="X1000" s="96"/>
      <c r="Y1000" s="96"/>
      <c r="Z1000" s="96"/>
      <c r="AA1000" s="96"/>
      <c r="AB1000" s="96"/>
      <c r="AC1000" s="96"/>
      <c r="AD1000" s="96"/>
      <c r="AE1000" s="96"/>
      <c r="AF1000" s="96"/>
      <c r="AG1000" s="96"/>
      <c r="AH1000" s="96"/>
      <c r="AI1000" s="96"/>
      <c r="AJ1000" s="96"/>
      <c r="AK1000" s="96"/>
      <c r="AL1000" s="96"/>
      <c r="AM1000" s="96"/>
      <c r="AN1000" s="96"/>
      <c r="AO1000" s="96"/>
      <c r="AP1000" s="96"/>
      <c r="AQ1000" s="96"/>
      <c r="AR1000" s="140"/>
      <c r="AS1000" s="140"/>
    </row>
    <row r="1001" spans="23:45">
      <c r="W1001" s="96"/>
      <c r="X1001" s="96"/>
      <c r="Y1001" s="96"/>
      <c r="Z1001" s="96"/>
      <c r="AA1001" s="96"/>
      <c r="AB1001" s="96"/>
      <c r="AC1001" s="96"/>
      <c r="AD1001" s="96"/>
      <c r="AE1001" s="96"/>
      <c r="AF1001" s="96"/>
      <c r="AG1001" s="96"/>
      <c r="AH1001" s="96"/>
      <c r="AI1001" s="96"/>
      <c r="AJ1001" s="96"/>
      <c r="AK1001" s="96"/>
      <c r="AL1001" s="96"/>
      <c r="AM1001" s="96"/>
      <c r="AN1001" s="96"/>
      <c r="AO1001" s="96"/>
      <c r="AP1001" s="96"/>
      <c r="AQ1001" s="96"/>
      <c r="AR1001" s="140"/>
      <c r="AS1001" s="140"/>
    </row>
    <row r="1002" spans="23:45">
      <c r="W1002" s="96"/>
      <c r="X1002" s="96"/>
      <c r="Y1002" s="96"/>
      <c r="Z1002" s="96"/>
      <c r="AA1002" s="96"/>
      <c r="AB1002" s="96"/>
      <c r="AC1002" s="96"/>
      <c r="AD1002" s="96"/>
      <c r="AE1002" s="96"/>
      <c r="AF1002" s="96"/>
      <c r="AG1002" s="96"/>
      <c r="AH1002" s="96"/>
      <c r="AI1002" s="96"/>
      <c r="AJ1002" s="96"/>
      <c r="AK1002" s="96"/>
      <c r="AL1002" s="96"/>
      <c r="AM1002" s="96"/>
      <c r="AN1002" s="96"/>
      <c r="AO1002" s="96"/>
      <c r="AP1002" s="96"/>
      <c r="AQ1002" s="96"/>
      <c r="AR1002" s="140"/>
      <c r="AS1002" s="140"/>
    </row>
    <row r="1003" spans="23:45">
      <c r="W1003" s="96"/>
      <c r="X1003" s="96"/>
      <c r="Y1003" s="96"/>
      <c r="Z1003" s="96"/>
      <c r="AA1003" s="96"/>
      <c r="AB1003" s="96"/>
      <c r="AC1003" s="96"/>
      <c r="AD1003" s="96"/>
      <c r="AE1003" s="96"/>
      <c r="AF1003" s="96"/>
      <c r="AG1003" s="96"/>
      <c r="AH1003" s="96"/>
      <c r="AI1003" s="96"/>
      <c r="AJ1003" s="96"/>
      <c r="AK1003" s="96"/>
      <c r="AL1003" s="96"/>
      <c r="AM1003" s="96"/>
      <c r="AN1003" s="96"/>
      <c r="AO1003" s="96"/>
      <c r="AP1003" s="96"/>
      <c r="AQ1003" s="96"/>
      <c r="AR1003" s="140"/>
      <c r="AS1003" s="140"/>
    </row>
    <row r="1004" spans="23:45">
      <c r="W1004" s="96"/>
      <c r="X1004" s="96"/>
      <c r="Y1004" s="96"/>
      <c r="Z1004" s="96"/>
      <c r="AA1004" s="96"/>
      <c r="AB1004" s="96"/>
      <c r="AC1004" s="96"/>
      <c r="AD1004" s="96"/>
      <c r="AE1004" s="96"/>
      <c r="AF1004" s="96"/>
      <c r="AG1004" s="96"/>
      <c r="AH1004" s="96"/>
      <c r="AI1004" s="96"/>
      <c r="AJ1004" s="96"/>
      <c r="AK1004" s="96"/>
      <c r="AL1004" s="96"/>
      <c r="AM1004" s="96"/>
      <c r="AN1004" s="96"/>
      <c r="AO1004" s="96"/>
      <c r="AP1004" s="96"/>
      <c r="AQ1004" s="96"/>
      <c r="AR1004" s="140"/>
      <c r="AS1004" s="140"/>
    </row>
    <row r="1005" spans="23:45">
      <c r="W1005" s="96"/>
      <c r="X1005" s="96"/>
      <c r="Y1005" s="96"/>
      <c r="Z1005" s="96"/>
      <c r="AA1005" s="96"/>
      <c r="AB1005" s="96"/>
      <c r="AC1005" s="96"/>
      <c r="AD1005" s="96"/>
      <c r="AE1005" s="96"/>
      <c r="AF1005" s="96"/>
      <c r="AG1005" s="96"/>
      <c r="AH1005" s="96"/>
      <c r="AI1005" s="96"/>
      <c r="AJ1005" s="96"/>
      <c r="AK1005" s="96"/>
      <c r="AL1005" s="96"/>
      <c r="AM1005" s="96"/>
      <c r="AN1005" s="96"/>
      <c r="AO1005" s="96"/>
      <c r="AP1005" s="96"/>
      <c r="AQ1005" s="96"/>
      <c r="AR1005" s="140"/>
      <c r="AS1005" s="140"/>
    </row>
    <row r="1006" spans="23:45">
      <c r="W1006" s="96"/>
      <c r="X1006" s="96"/>
      <c r="Y1006" s="96"/>
      <c r="Z1006" s="96"/>
      <c r="AA1006" s="96"/>
      <c r="AB1006" s="96"/>
      <c r="AC1006" s="96"/>
      <c r="AD1006" s="96"/>
      <c r="AE1006" s="96"/>
      <c r="AF1006" s="96"/>
      <c r="AG1006" s="96"/>
      <c r="AH1006" s="96"/>
      <c r="AI1006" s="96"/>
      <c r="AJ1006" s="96"/>
      <c r="AK1006" s="96"/>
      <c r="AL1006" s="96"/>
      <c r="AM1006" s="96"/>
      <c r="AN1006" s="96"/>
      <c r="AO1006" s="96"/>
      <c r="AP1006" s="96"/>
      <c r="AQ1006" s="96"/>
      <c r="AR1006" s="140"/>
      <c r="AS1006" s="140"/>
    </row>
    <row r="1007" spans="23:45">
      <c r="W1007" s="96"/>
      <c r="X1007" s="96"/>
      <c r="Y1007" s="96"/>
      <c r="Z1007" s="96"/>
      <c r="AA1007" s="96"/>
      <c r="AB1007" s="96"/>
      <c r="AC1007" s="96"/>
      <c r="AD1007" s="96"/>
      <c r="AE1007" s="96"/>
      <c r="AF1007" s="96"/>
      <c r="AG1007" s="96"/>
      <c r="AH1007" s="96"/>
      <c r="AI1007" s="96"/>
      <c r="AJ1007" s="96"/>
      <c r="AK1007" s="96"/>
      <c r="AL1007" s="96"/>
      <c r="AM1007" s="96"/>
      <c r="AN1007" s="96"/>
      <c r="AO1007" s="96"/>
      <c r="AP1007" s="96"/>
      <c r="AQ1007" s="96"/>
      <c r="AR1007" s="140"/>
      <c r="AS1007" s="140"/>
    </row>
    <row r="1008" spans="23:45">
      <c r="W1008" s="96"/>
      <c r="X1008" s="96"/>
      <c r="Y1008" s="96"/>
      <c r="Z1008" s="96"/>
      <c r="AA1008" s="96"/>
      <c r="AB1008" s="96"/>
      <c r="AC1008" s="96"/>
      <c r="AD1008" s="96"/>
      <c r="AE1008" s="96"/>
      <c r="AF1008" s="96"/>
      <c r="AG1008" s="96"/>
      <c r="AH1008" s="96"/>
      <c r="AI1008" s="96"/>
      <c r="AJ1008" s="96"/>
      <c r="AK1008" s="96"/>
      <c r="AL1008" s="96"/>
      <c r="AM1008" s="96"/>
      <c r="AN1008" s="96"/>
      <c r="AO1008" s="96"/>
      <c r="AP1008" s="96"/>
      <c r="AQ1008" s="96"/>
      <c r="AR1008" s="140"/>
      <c r="AS1008" s="140"/>
    </row>
    <row r="1009" spans="23:45">
      <c r="W1009" s="96"/>
      <c r="X1009" s="96"/>
      <c r="Y1009" s="96"/>
      <c r="Z1009" s="96"/>
      <c r="AA1009" s="96"/>
      <c r="AB1009" s="96"/>
      <c r="AC1009" s="96"/>
      <c r="AD1009" s="96"/>
      <c r="AE1009" s="96"/>
      <c r="AF1009" s="96"/>
      <c r="AG1009" s="96"/>
      <c r="AH1009" s="96"/>
      <c r="AI1009" s="96"/>
      <c r="AJ1009" s="96"/>
      <c r="AK1009" s="96"/>
      <c r="AL1009" s="96"/>
      <c r="AM1009" s="96"/>
      <c r="AN1009" s="96"/>
      <c r="AO1009" s="96"/>
      <c r="AP1009" s="96"/>
      <c r="AQ1009" s="96"/>
      <c r="AR1009" s="140"/>
      <c r="AS1009" s="140"/>
    </row>
    <row r="1010" spans="23:45">
      <c r="W1010" s="96"/>
      <c r="X1010" s="96"/>
      <c r="Y1010" s="96"/>
      <c r="Z1010" s="96"/>
      <c r="AA1010" s="96"/>
      <c r="AB1010" s="96"/>
      <c r="AC1010" s="96"/>
      <c r="AD1010" s="96"/>
      <c r="AE1010" s="96"/>
      <c r="AF1010" s="96"/>
      <c r="AG1010" s="96"/>
      <c r="AH1010" s="96"/>
      <c r="AI1010" s="96"/>
      <c r="AJ1010" s="96"/>
      <c r="AK1010" s="96"/>
      <c r="AL1010" s="96"/>
      <c r="AM1010" s="96"/>
      <c r="AN1010" s="96"/>
      <c r="AO1010" s="96"/>
      <c r="AP1010" s="96"/>
      <c r="AQ1010" s="96"/>
      <c r="AR1010" s="140"/>
      <c r="AS1010" s="140"/>
    </row>
    <row r="1011" spans="23:45">
      <c r="W1011" s="96"/>
      <c r="X1011" s="96"/>
      <c r="Y1011" s="96"/>
      <c r="Z1011" s="96"/>
      <c r="AA1011" s="96"/>
      <c r="AB1011" s="96"/>
      <c r="AC1011" s="96"/>
      <c r="AD1011" s="96"/>
      <c r="AE1011" s="96"/>
      <c r="AF1011" s="96"/>
      <c r="AG1011" s="96"/>
      <c r="AH1011" s="96"/>
      <c r="AI1011" s="96"/>
      <c r="AJ1011" s="96"/>
      <c r="AK1011" s="96"/>
      <c r="AL1011" s="96"/>
      <c r="AM1011" s="96"/>
      <c r="AN1011" s="96"/>
      <c r="AO1011" s="96"/>
      <c r="AP1011" s="96"/>
      <c r="AQ1011" s="96"/>
      <c r="AR1011" s="140"/>
      <c r="AS1011" s="140"/>
    </row>
    <row r="1012" spans="23:45">
      <c r="W1012" s="96"/>
      <c r="X1012" s="96"/>
      <c r="Y1012" s="96"/>
      <c r="Z1012" s="96"/>
      <c r="AA1012" s="96"/>
      <c r="AB1012" s="96"/>
      <c r="AC1012" s="96"/>
      <c r="AD1012" s="96"/>
      <c r="AE1012" s="96"/>
      <c r="AF1012" s="96"/>
      <c r="AG1012" s="96"/>
      <c r="AH1012" s="96"/>
      <c r="AI1012" s="96"/>
      <c r="AJ1012" s="96"/>
      <c r="AK1012" s="96"/>
      <c r="AL1012" s="96"/>
      <c r="AM1012" s="96"/>
      <c r="AN1012" s="96"/>
      <c r="AO1012" s="96"/>
      <c r="AP1012" s="96"/>
      <c r="AQ1012" s="96"/>
      <c r="AR1012" s="140"/>
      <c r="AS1012" s="140"/>
    </row>
    <row r="1013" spans="23:45">
      <c r="W1013" s="96"/>
      <c r="X1013" s="96"/>
      <c r="Y1013" s="96"/>
      <c r="Z1013" s="96"/>
      <c r="AA1013" s="96"/>
      <c r="AB1013" s="96"/>
      <c r="AC1013" s="96"/>
      <c r="AD1013" s="96"/>
      <c r="AE1013" s="96"/>
      <c r="AF1013" s="96"/>
      <c r="AG1013" s="96"/>
      <c r="AH1013" s="96"/>
      <c r="AI1013" s="96"/>
      <c r="AJ1013" s="96"/>
      <c r="AK1013" s="96"/>
      <c r="AL1013" s="96"/>
      <c r="AM1013" s="96"/>
      <c r="AN1013" s="96"/>
      <c r="AO1013" s="96"/>
      <c r="AP1013" s="96"/>
      <c r="AQ1013" s="96"/>
      <c r="AR1013" s="140"/>
      <c r="AS1013" s="140"/>
    </row>
    <row r="1014" spans="23:45">
      <c r="W1014" s="96"/>
      <c r="X1014" s="96"/>
      <c r="Y1014" s="96"/>
      <c r="Z1014" s="96"/>
      <c r="AA1014" s="96"/>
      <c r="AB1014" s="96"/>
      <c r="AC1014" s="96"/>
      <c r="AD1014" s="96"/>
      <c r="AE1014" s="96"/>
      <c r="AF1014" s="96"/>
      <c r="AG1014" s="96"/>
      <c r="AH1014" s="96"/>
      <c r="AI1014" s="96"/>
      <c r="AJ1014" s="96"/>
      <c r="AK1014" s="96"/>
      <c r="AL1014" s="96"/>
      <c r="AM1014" s="96"/>
      <c r="AN1014" s="96"/>
      <c r="AO1014" s="96"/>
      <c r="AP1014" s="96"/>
      <c r="AQ1014" s="96"/>
      <c r="AR1014" s="140"/>
      <c r="AS1014" s="140"/>
    </row>
    <row r="1015" spans="23:45">
      <c r="W1015" s="96"/>
      <c r="X1015" s="96"/>
      <c r="Y1015" s="96"/>
      <c r="Z1015" s="96"/>
      <c r="AA1015" s="96"/>
      <c r="AB1015" s="96"/>
      <c r="AC1015" s="96"/>
      <c r="AD1015" s="96"/>
      <c r="AE1015" s="96"/>
      <c r="AF1015" s="96"/>
      <c r="AG1015" s="96"/>
      <c r="AH1015" s="96"/>
      <c r="AI1015" s="96"/>
      <c r="AJ1015" s="96"/>
      <c r="AK1015" s="96"/>
      <c r="AL1015" s="96"/>
      <c r="AM1015" s="96"/>
      <c r="AN1015" s="96"/>
      <c r="AO1015" s="96"/>
      <c r="AP1015" s="96"/>
      <c r="AQ1015" s="96"/>
      <c r="AR1015" s="140"/>
      <c r="AS1015" s="140"/>
    </row>
    <row r="1016" spans="23:45">
      <c r="W1016" s="96"/>
      <c r="X1016" s="96"/>
      <c r="Y1016" s="96"/>
      <c r="Z1016" s="96"/>
      <c r="AA1016" s="96"/>
      <c r="AB1016" s="96"/>
      <c r="AC1016" s="96"/>
      <c r="AD1016" s="96"/>
      <c r="AE1016" s="96"/>
      <c r="AF1016" s="96"/>
      <c r="AG1016" s="96"/>
      <c r="AH1016" s="96"/>
      <c r="AI1016" s="96"/>
      <c r="AJ1016" s="96"/>
      <c r="AK1016" s="96"/>
      <c r="AL1016" s="96"/>
      <c r="AM1016" s="96"/>
      <c r="AN1016" s="96"/>
      <c r="AO1016" s="96"/>
      <c r="AP1016" s="96"/>
      <c r="AQ1016" s="96"/>
      <c r="AR1016" s="140"/>
      <c r="AS1016" s="140"/>
    </row>
    <row r="1017" spans="23:45">
      <c r="W1017" s="96"/>
      <c r="X1017" s="96"/>
      <c r="Y1017" s="96"/>
      <c r="Z1017" s="96"/>
      <c r="AA1017" s="96"/>
      <c r="AB1017" s="96"/>
      <c r="AC1017" s="96"/>
      <c r="AD1017" s="96"/>
      <c r="AE1017" s="96"/>
      <c r="AF1017" s="96"/>
      <c r="AG1017" s="96"/>
      <c r="AH1017" s="96"/>
      <c r="AI1017" s="96"/>
      <c r="AJ1017" s="96"/>
      <c r="AK1017" s="96"/>
      <c r="AL1017" s="96"/>
      <c r="AM1017" s="96"/>
      <c r="AN1017" s="96"/>
      <c r="AO1017" s="96"/>
      <c r="AP1017" s="96"/>
      <c r="AQ1017" s="96"/>
      <c r="AR1017" s="140"/>
      <c r="AS1017" s="140"/>
    </row>
    <row r="1018" spans="23:45">
      <c r="W1018" s="96"/>
      <c r="X1018" s="96"/>
      <c r="Y1018" s="96"/>
      <c r="Z1018" s="96"/>
      <c r="AA1018" s="96"/>
      <c r="AB1018" s="96"/>
      <c r="AC1018" s="96"/>
      <c r="AD1018" s="96"/>
      <c r="AE1018" s="96"/>
      <c r="AF1018" s="96"/>
      <c r="AG1018" s="96"/>
      <c r="AH1018" s="96"/>
      <c r="AI1018" s="96"/>
      <c r="AJ1018" s="96"/>
      <c r="AK1018" s="96"/>
      <c r="AL1018" s="96"/>
      <c r="AM1018" s="96"/>
      <c r="AN1018" s="96"/>
      <c r="AO1018" s="96"/>
      <c r="AP1018" s="96"/>
      <c r="AQ1018" s="96"/>
      <c r="AR1018" s="140"/>
      <c r="AS1018" s="140"/>
    </row>
    <row r="1019" spans="23:45">
      <c r="W1019" s="96"/>
      <c r="X1019" s="96"/>
      <c r="Y1019" s="96"/>
      <c r="Z1019" s="96"/>
      <c r="AA1019" s="96"/>
      <c r="AB1019" s="96"/>
      <c r="AC1019" s="96"/>
      <c r="AD1019" s="96"/>
      <c r="AE1019" s="96"/>
      <c r="AF1019" s="96"/>
      <c r="AG1019" s="96"/>
      <c r="AH1019" s="96"/>
      <c r="AI1019" s="96"/>
      <c r="AJ1019" s="96"/>
      <c r="AK1019" s="96"/>
      <c r="AL1019" s="96"/>
      <c r="AM1019" s="96"/>
      <c r="AN1019" s="96"/>
      <c r="AO1019" s="96"/>
      <c r="AP1019" s="96"/>
      <c r="AQ1019" s="96"/>
      <c r="AR1019" s="140"/>
      <c r="AS1019" s="140"/>
    </row>
    <row r="1020" spans="23:45">
      <c r="W1020" s="96"/>
      <c r="X1020" s="96"/>
      <c r="Y1020" s="96"/>
      <c r="Z1020" s="96"/>
      <c r="AA1020" s="96"/>
      <c r="AB1020" s="96"/>
      <c r="AC1020" s="96"/>
      <c r="AD1020" s="96"/>
      <c r="AE1020" s="96"/>
      <c r="AF1020" s="96"/>
      <c r="AG1020" s="96"/>
      <c r="AH1020" s="96"/>
      <c r="AI1020" s="96"/>
      <c r="AJ1020" s="96"/>
      <c r="AK1020" s="96"/>
      <c r="AL1020" s="96"/>
      <c r="AM1020" s="96"/>
      <c r="AN1020" s="96"/>
      <c r="AO1020" s="96"/>
      <c r="AP1020" s="96"/>
      <c r="AQ1020" s="96"/>
      <c r="AR1020" s="140"/>
      <c r="AS1020" s="140"/>
    </row>
    <row r="1021" spans="23:45">
      <c r="W1021" s="96"/>
      <c r="X1021" s="96"/>
      <c r="Y1021" s="96"/>
      <c r="Z1021" s="96"/>
      <c r="AA1021" s="96"/>
      <c r="AB1021" s="96"/>
      <c r="AC1021" s="96"/>
      <c r="AD1021" s="96"/>
      <c r="AE1021" s="96"/>
      <c r="AF1021" s="96"/>
      <c r="AG1021" s="96"/>
      <c r="AH1021" s="96"/>
      <c r="AI1021" s="96"/>
      <c r="AJ1021" s="96"/>
      <c r="AK1021" s="96"/>
      <c r="AL1021" s="96"/>
      <c r="AM1021" s="96"/>
      <c r="AN1021" s="96"/>
      <c r="AO1021" s="96"/>
      <c r="AP1021" s="96"/>
      <c r="AQ1021" s="96"/>
      <c r="AR1021" s="140"/>
      <c r="AS1021" s="140"/>
    </row>
    <row r="1022" spans="23:45">
      <c r="W1022" s="96"/>
      <c r="X1022" s="96"/>
      <c r="Y1022" s="96"/>
      <c r="Z1022" s="96"/>
      <c r="AA1022" s="96"/>
      <c r="AB1022" s="96"/>
      <c r="AC1022" s="96"/>
      <c r="AD1022" s="96"/>
      <c r="AE1022" s="96"/>
      <c r="AF1022" s="96"/>
      <c r="AG1022" s="96"/>
      <c r="AH1022" s="96"/>
      <c r="AI1022" s="96"/>
      <c r="AJ1022" s="96"/>
      <c r="AK1022" s="96"/>
      <c r="AL1022" s="96"/>
      <c r="AM1022" s="96"/>
      <c r="AN1022" s="96"/>
      <c r="AO1022" s="96"/>
      <c r="AP1022" s="96"/>
      <c r="AQ1022" s="96"/>
      <c r="AR1022" s="140"/>
      <c r="AS1022" s="140"/>
    </row>
    <row r="1023" spans="23:45">
      <c r="W1023" s="96"/>
      <c r="X1023" s="96"/>
      <c r="Y1023" s="96"/>
      <c r="Z1023" s="96"/>
      <c r="AA1023" s="96"/>
      <c r="AB1023" s="96"/>
      <c r="AC1023" s="96"/>
      <c r="AD1023" s="96"/>
      <c r="AE1023" s="96"/>
      <c r="AF1023" s="96"/>
      <c r="AG1023" s="96"/>
      <c r="AH1023" s="96"/>
      <c r="AI1023" s="96"/>
      <c r="AJ1023" s="96"/>
      <c r="AK1023" s="96"/>
      <c r="AL1023" s="96"/>
      <c r="AM1023" s="96"/>
      <c r="AN1023" s="96"/>
      <c r="AO1023" s="96"/>
      <c r="AP1023" s="96"/>
      <c r="AQ1023" s="96"/>
      <c r="AR1023" s="140"/>
      <c r="AS1023" s="140"/>
    </row>
    <row r="1024" spans="23:45">
      <c r="W1024" s="96"/>
      <c r="X1024" s="96"/>
      <c r="Y1024" s="96"/>
      <c r="Z1024" s="96"/>
      <c r="AA1024" s="96"/>
      <c r="AB1024" s="96"/>
      <c r="AC1024" s="96"/>
      <c r="AD1024" s="96"/>
      <c r="AE1024" s="96"/>
      <c r="AF1024" s="96"/>
      <c r="AG1024" s="96"/>
      <c r="AH1024" s="96"/>
      <c r="AI1024" s="96"/>
      <c r="AJ1024" s="96"/>
      <c r="AK1024" s="96"/>
      <c r="AL1024" s="96"/>
      <c r="AM1024" s="96"/>
      <c r="AN1024" s="96"/>
      <c r="AO1024" s="96"/>
      <c r="AP1024" s="96"/>
      <c r="AQ1024" s="96"/>
      <c r="AR1024" s="140"/>
      <c r="AS1024" s="140"/>
    </row>
    <row r="1025" spans="23:45">
      <c r="W1025" s="96"/>
      <c r="X1025" s="96"/>
      <c r="Y1025" s="96"/>
      <c r="Z1025" s="96"/>
      <c r="AA1025" s="96"/>
      <c r="AB1025" s="96"/>
      <c r="AC1025" s="96"/>
      <c r="AD1025" s="96"/>
      <c r="AE1025" s="96"/>
      <c r="AF1025" s="96"/>
      <c r="AG1025" s="96"/>
      <c r="AH1025" s="96"/>
      <c r="AI1025" s="96"/>
      <c r="AJ1025" s="96"/>
      <c r="AK1025" s="96"/>
      <c r="AL1025" s="96"/>
      <c r="AM1025" s="96"/>
      <c r="AN1025" s="96"/>
      <c r="AO1025" s="96"/>
      <c r="AP1025" s="96"/>
      <c r="AQ1025" s="96"/>
      <c r="AR1025" s="140"/>
      <c r="AS1025" s="140"/>
    </row>
    <row r="1026" spans="23:45">
      <c r="W1026" s="96"/>
      <c r="X1026" s="96"/>
      <c r="Y1026" s="96"/>
      <c r="Z1026" s="96"/>
      <c r="AA1026" s="96"/>
      <c r="AB1026" s="96"/>
      <c r="AC1026" s="96"/>
      <c r="AD1026" s="96"/>
      <c r="AE1026" s="96"/>
      <c r="AF1026" s="96"/>
      <c r="AG1026" s="96"/>
      <c r="AH1026" s="96"/>
      <c r="AI1026" s="96"/>
      <c r="AJ1026" s="96"/>
      <c r="AK1026" s="96"/>
      <c r="AL1026" s="96"/>
      <c r="AM1026" s="96"/>
      <c r="AN1026" s="96"/>
      <c r="AO1026" s="96"/>
      <c r="AP1026" s="96"/>
      <c r="AQ1026" s="96"/>
      <c r="AR1026" s="140"/>
      <c r="AS1026" s="140"/>
    </row>
    <row r="1027" spans="23:45">
      <c r="W1027" s="96"/>
      <c r="X1027" s="96"/>
      <c r="Y1027" s="96"/>
      <c r="Z1027" s="96"/>
      <c r="AA1027" s="96"/>
      <c r="AB1027" s="96"/>
      <c r="AC1027" s="96"/>
      <c r="AD1027" s="96"/>
      <c r="AE1027" s="96"/>
      <c r="AF1027" s="96"/>
      <c r="AG1027" s="96"/>
      <c r="AH1027" s="96"/>
      <c r="AI1027" s="96"/>
      <c r="AJ1027" s="96"/>
      <c r="AK1027" s="96"/>
      <c r="AL1027" s="96"/>
      <c r="AM1027" s="96"/>
      <c r="AN1027" s="96"/>
      <c r="AO1027" s="96"/>
      <c r="AP1027" s="96"/>
      <c r="AQ1027" s="96"/>
      <c r="AR1027" s="140"/>
      <c r="AS1027" s="140"/>
    </row>
    <row r="1028" spans="23:45">
      <c r="W1028" s="96"/>
      <c r="X1028" s="96"/>
      <c r="Y1028" s="96"/>
      <c r="Z1028" s="96"/>
      <c r="AA1028" s="96"/>
      <c r="AB1028" s="96"/>
      <c r="AC1028" s="96"/>
      <c r="AD1028" s="96"/>
      <c r="AE1028" s="96"/>
      <c r="AF1028" s="96"/>
      <c r="AG1028" s="96"/>
      <c r="AH1028" s="96"/>
      <c r="AI1028" s="96"/>
      <c r="AJ1028" s="96"/>
      <c r="AK1028" s="96"/>
      <c r="AL1028" s="96"/>
      <c r="AM1028" s="96"/>
      <c r="AN1028" s="96"/>
      <c r="AO1028" s="96"/>
      <c r="AP1028" s="96"/>
      <c r="AQ1028" s="96"/>
      <c r="AR1028" s="140"/>
      <c r="AS1028" s="140"/>
    </row>
    <row r="1029" spans="23:45">
      <c r="W1029" s="96"/>
      <c r="X1029" s="96"/>
      <c r="Y1029" s="96"/>
      <c r="Z1029" s="96"/>
      <c r="AA1029" s="96"/>
      <c r="AB1029" s="96"/>
      <c r="AC1029" s="96"/>
      <c r="AD1029" s="96"/>
      <c r="AE1029" s="96"/>
      <c r="AF1029" s="96"/>
      <c r="AG1029" s="96"/>
      <c r="AH1029" s="96"/>
      <c r="AI1029" s="96"/>
      <c r="AJ1029" s="96"/>
      <c r="AK1029" s="96"/>
      <c r="AL1029" s="96"/>
      <c r="AM1029" s="96"/>
      <c r="AN1029" s="96"/>
      <c r="AO1029" s="96"/>
      <c r="AP1029" s="96"/>
      <c r="AQ1029" s="96"/>
      <c r="AR1029" s="140"/>
      <c r="AS1029" s="140"/>
    </row>
    <row r="1030" spans="23:45">
      <c r="W1030" s="96"/>
      <c r="X1030" s="96"/>
      <c r="Y1030" s="96"/>
      <c r="Z1030" s="96"/>
      <c r="AA1030" s="96"/>
      <c r="AB1030" s="96"/>
      <c r="AC1030" s="96"/>
      <c r="AD1030" s="96"/>
      <c r="AE1030" s="96"/>
      <c r="AF1030" s="96"/>
      <c r="AG1030" s="96"/>
      <c r="AH1030" s="96"/>
      <c r="AI1030" s="96"/>
      <c r="AJ1030" s="96"/>
      <c r="AK1030" s="96"/>
      <c r="AL1030" s="96"/>
      <c r="AM1030" s="96"/>
      <c r="AN1030" s="96"/>
      <c r="AO1030" s="96"/>
      <c r="AP1030" s="96"/>
      <c r="AQ1030" s="96"/>
      <c r="AR1030" s="140"/>
      <c r="AS1030" s="140"/>
    </row>
    <row r="1031" spans="23:45">
      <c r="W1031" s="96"/>
      <c r="X1031" s="96"/>
      <c r="Y1031" s="96"/>
      <c r="Z1031" s="96"/>
      <c r="AA1031" s="96"/>
      <c r="AB1031" s="96"/>
      <c r="AC1031" s="96"/>
      <c r="AD1031" s="96"/>
      <c r="AE1031" s="96"/>
      <c r="AF1031" s="96"/>
      <c r="AG1031" s="96"/>
      <c r="AH1031" s="96"/>
      <c r="AI1031" s="96"/>
      <c r="AJ1031" s="96"/>
      <c r="AK1031" s="96"/>
      <c r="AL1031" s="96"/>
      <c r="AM1031" s="96"/>
      <c r="AN1031" s="96"/>
      <c r="AO1031" s="96"/>
      <c r="AP1031" s="96"/>
      <c r="AQ1031" s="96"/>
      <c r="AR1031" s="140"/>
      <c r="AS1031" s="140"/>
    </row>
    <row r="1032" spans="23:45">
      <c r="W1032" s="96"/>
      <c r="X1032" s="96"/>
      <c r="Y1032" s="96"/>
      <c r="Z1032" s="96"/>
      <c r="AA1032" s="96"/>
      <c r="AB1032" s="96"/>
      <c r="AC1032" s="96"/>
      <c r="AD1032" s="96"/>
      <c r="AE1032" s="96"/>
      <c r="AF1032" s="96"/>
      <c r="AG1032" s="96"/>
      <c r="AH1032" s="96"/>
      <c r="AI1032" s="96"/>
      <c r="AJ1032" s="96"/>
      <c r="AK1032" s="96"/>
      <c r="AL1032" s="96"/>
      <c r="AM1032" s="96"/>
      <c r="AN1032" s="96"/>
      <c r="AO1032" s="96"/>
      <c r="AP1032" s="96"/>
      <c r="AQ1032" s="96"/>
      <c r="AR1032" s="140"/>
      <c r="AS1032" s="140"/>
    </row>
    <row r="1033" spans="23:45">
      <c r="W1033" s="96"/>
      <c r="X1033" s="96"/>
      <c r="Y1033" s="96"/>
      <c r="Z1033" s="96"/>
      <c r="AA1033" s="96"/>
      <c r="AB1033" s="96"/>
      <c r="AC1033" s="96"/>
      <c r="AD1033" s="96"/>
      <c r="AE1033" s="96"/>
      <c r="AF1033" s="96"/>
      <c r="AG1033" s="96"/>
      <c r="AH1033" s="96"/>
      <c r="AI1033" s="96"/>
      <c r="AJ1033" s="96"/>
      <c r="AK1033" s="96"/>
      <c r="AL1033" s="96"/>
      <c r="AM1033" s="96"/>
      <c r="AN1033" s="96"/>
      <c r="AO1033" s="96"/>
      <c r="AP1033" s="96"/>
      <c r="AQ1033" s="96"/>
      <c r="AR1033" s="140"/>
      <c r="AS1033" s="140"/>
    </row>
    <row r="1034" spans="23:45">
      <c r="W1034" s="96"/>
      <c r="X1034" s="96"/>
      <c r="Y1034" s="96"/>
      <c r="Z1034" s="96"/>
      <c r="AA1034" s="96"/>
      <c r="AB1034" s="96"/>
      <c r="AC1034" s="96"/>
      <c r="AD1034" s="96"/>
      <c r="AE1034" s="96"/>
      <c r="AF1034" s="96"/>
      <c r="AG1034" s="96"/>
      <c r="AH1034" s="96"/>
      <c r="AI1034" s="96"/>
      <c r="AJ1034" s="96"/>
      <c r="AK1034" s="96"/>
      <c r="AL1034" s="96"/>
      <c r="AM1034" s="96"/>
      <c r="AN1034" s="96"/>
      <c r="AO1034" s="96"/>
      <c r="AP1034" s="96"/>
      <c r="AQ1034" s="96"/>
      <c r="AR1034" s="140"/>
      <c r="AS1034" s="140"/>
    </row>
    <row r="1035" spans="23:45">
      <c r="W1035" s="96"/>
      <c r="X1035" s="96"/>
      <c r="Y1035" s="96"/>
      <c r="Z1035" s="96"/>
      <c r="AA1035" s="96"/>
      <c r="AB1035" s="96"/>
      <c r="AC1035" s="96"/>
      <c r="AD1035" s="96"/>
      <c r="AE1035" s="96"/>
      <c r="AF1035" s="96"/>
      <c r="AG1035" s="96"/>
      <c r="AH1035" s="96"/>
      <c r="AI1035" s="96"/>
      <c r="AJ1035" s="96"/>
      <c r="AK1035" s="96"/>
      <c r="AL1035" s="96"/>
      <c r="AM1035" s="96"/>
      <c r="AN1035" s="96"/>
      <c r="AO1035" s="96"/>
      <c r="AP1035" s="96"/>
      <c r="AQ1035" s="96"/>
      <c r="AR1035" s="140"/>
      <c r="AS1035" s="140"/>
    </row>
    <row r="1036" spans="23:45">
      <c r="W1036" s="96"/>
      <c r="X1036" s="96"/>
      <c r="Y1036" s="96"/>
      <c r="Z1036" s="96"/>
      <c r="AA1036" s="96"/>
      <c r="AB1036" s="96"/>
      <c r="AC1036" s="96"/>
      <c r="AD1036" s="96"/>
      <c r="AE1036" s="96"/>
      <c r="AF1036" s="96"/>
      <c r="AG1036" s="96"/>
      <c r="AH1036" s="96"/>
      <c r="AI1036" s="96"/>
      <c r="AJ1036" s="96"/>
      <c r="AK1036" s="96"/>
      <c r="AL1036" s="96"/>
      <c r="AM1036" s="96"/>
      <c r="AN1036" s="96"/>
      <c r="AO1036" s="96"/>
      <c r="AP1036" s="96"/>
      <c r="AQ1036" s="96"/>
      <c r="AR1036" s="140"/>
      <c r="AS1036" s="140"/>
    </row>
    <row r="1037" spans="23:45">
      <c r="W1037" s="96"/>
      <c r="X1037" s="96"/>
      <c r="Y1037" s="96"/>
      <c r="Z1037" s="96"/>
      <c r="AA1037" s="96"/>
      <c r="AB1037" s="96"/>
      <c r="AC1037" s="96"/>
      <c r="AD1037" s="96"/>
      <c r="AE1037" s="96"/>
      <c r="AF1037" s="96"/>
      <c r="AG1037" s="96"/>
      <c r="AH1037" s="96"/>
      <c r="AI1037" s="96"/>
      <c r="AJ1037" s="96"/>
      <c r="AK1037" s="96"/>
      <c r="AL1037" s="96"/>
      <c r="AM1037" s="96"/>
      <c r="AN1037" s="96"/>
      <c r="AO1037" s="96"/>
      <c r="AP1037" s="96"/>
      <c r="AQ1037" s="96"/>
      <c r="AR1037" s="140"/>
      <c r="AS1037" s="140"/>
    </row>
    <row r="1038" spans="23:45">
      <c r="W1038" s="96"/>
      <c r="X1038" s="96"/>
      <c r="Y1038" s="96"/>
      <c r="Z1038" s="96"/>
      <c r="AA1038" s="96"/>
      <c r="AB1038" s="96"/>
      <c r="AC1038" s="96"/>
      <c r="AD1038" s="96"/>
      <c r="AE1038" s="96"/>
      <c r="AF1038" s="96"/>
      <c r="AG1038" s="96"/>
      <c r="AH1038" s="96"/>
      <c r="AI1038" s="96"/>
      <c r="AJ1038" s="96"/>
      <c r="AK1038" s="96"/>
      <c r="AL1038" s="96"/>
      <c r="AM1038" s="96"/>
      <c r="AN1038" s="96"/>
      <c r="AO1038" s="96"/>
      <c r="AP1038" s="96"/>
      <c r="AQ1038" s="96"/>
      <c r="AR1038" s="140"/>
      <c r="AS1038" s="140"/>
    </row>
    <row r="1039" spans="23:45">
      <c r="W1039" s="96"/>
      <c r="X1039" s="96"/>
      <c r="Y1039" s="96"/>
      <c r="Z1039" s="96"/>
      <c r="AA1039" s="96"/>
      <c r="AB1039" s="96"/>
      <c r="AC1039" s="96"/>
      <c r="AD1039" s="96"/>
      <c r="AE1039" s="96"/>
      <c r="AF1039" s="96"/>
      <c r="AG1039" s="96"/>
      <c r="AH1039" s="96"/>
      <c r="AI1039" s="96"/>
      <c r="AJ1039" s="96"/>
      <c r="AK1039" s="96"/>
      <c r="AL1039" s="96"/>
      <c r="AM1039" s="96"/>
      <c r="AN1039" s="96"/>
      <c r="AO1039" s="96"/>
      <c r="AP1039" s="96"/>
      <c r="AQ1039" s="96"/>
      <c r="AR1039" s="140"/>
      <c r="AS1039" s="140"/>
    </row>
    <row r="1040" spans="23:45">
      <c r="W1040" s="96"/>
      <c r="X1040" s="96"/>
      <c r="Y1040" s="96"/>
      <c r="Z1040" s="96"/>
      <c r="AA1040" s="96"/>
      <c r="AB1040" s="96"/>
      <c r="AC1040" s="96"/>
      <c r="AD1040" s="96"/>
      <c r="AE1040" s="96"/>
      <c r="AF1040" s="96"/>
      <c r="AG1040" s="96"/>
      <c r="AH1040" s="96"/>
      <c r="AI1040" s="96"/>
      <c r="AJ1040" s="96"/>
      <c r="AK1040" s="96"/>
      <c r="AL1040" s="96"/>
      <c r="AM1040" s="96"/>
      <c r="AN1040" s="96"/>
      <c r="AO1040" s="96"/>
      <c r="AP1040" s="96"/>
      <c r="AQ1040" s="96"/>
      <c r="AR1040" s="140"/>
      <c r="AS1040" s="140"/>
    </row>
    <row r="1041" spans="23:45">
      <c r="W1041" s="96"/>
      <c r="X1041" s="96"/>
      <c r="Y1041" s="96"/>
      <c r="Z1041" s="96"/>
      <c r="AA1041" s="96"/>
      <c r="AB1041" s="96"/>
      <c r="AC1041" s="96"/>
      <c r="AD1041" s="96"/>
      <c r="AE1041" s="96"/>
      <c r="AF1041" s="96"/>
      <c r="AG1041" s="96"/>
      <c r="AH1041" s="96"/>
      <c r="AI1041" s="96"/>
      <c r="AJ1041" s="96"/>
      <c r="AK1041" s="96"/>
      <c r="AL1041" s="96"/>
      <c r="AM1041" s="96"/>
      <c r="AN1041" s="96"/>
      <c r="AO1041" s="96"/>
      <c r="AP1041" s="96"/>
      <c r="AQ1041" s="96"/>
      <c r="AR1041" s="140"/>
      <c r="AS1041" s="140"/>
    </row>
    <row r="1042" spans="23:45">
      <c r="W1042" s="96"/>
      <c r="X1042" s="96"/>
      <c r="Y1042" s="96"/>
      <c r="Z1042" s="96"/>
      <c r="AA1042" s="96"/>
      <c r="AB1042" s="96"/>
      <c r="AC1042" s="96"/>
      <c r="AD1042" s="96"/>
      <c r="AE1042" s="96"/>
      <c r="AF1042" s="96"/>
      <c r="AG1042" s="96"/>
      <c r="AH1042" s="96"/>
      <c r="AI1042" s="96"/>
      <c r="AJ1042" s="96"/>
      <c r="AK1042" s="96"/>
      <c r="AL1042" s="96"/>
      <c r="AM1042" s="96"/>
      <c r="AN1042" s="96"/>
      <c r="AO1042" s="96"/>
      <c r="AP1042" s="96"/>
      <c r="AQ1042" s="96"/>
      <c r="AR1042" s="140"/>
      <c r="AS1042" s="140"/>
    </row>
    <row r="1043" spans="23:45">
      <c r="W1043" s="96"/>
      <c r="X1043" s="96"/>
      <c r="Y1043" s="96"/>
      <c r="Z1043" s="96"/>
      <c r="AA1043" s="96"/>
      <c r="AB1043" s="96"/>
      <c r="AC1043" s="96"/>
      <c r="AD1043" s="96"/>
      <c r="AE1043" s="96"/>
      <c r="AF1043" s="96"/>
      <c r="AG1043" s="96"/>
      <c r="AH1043" s="96"/>
      <c r="AI1043" s="96"/>
      <c r="AJ1043" s="96"/>
      <c r="AK1043" s="96"/>
      <c r="AL1043" s="96"/>
      <c r="AM1043" s="96"/>
      <c r="AN1043" s="96"/>
      <c r="AO1043" s="96"/>
      <c r="AP1043" s="96"/>
      <c r="AQ1043" s="96"/>
      <c r="AR1043" s="140"/>
      <c r="AS1043" s="140"/>
    </row>
    <row r="1044" spans="23:45">
      <c r="W1044" s="96"/>
      <c r="X1044" s="96"/>
      <c r="Y1044" s="96"/>
      <c r="Z1044" s="96"/>
      <c r="AA1044" s="96"/>
      <c r="AB1044" s="96"/>
      <c r="AC1044" s="96"/>
      <c r="AD1044" s="96"/>
      <c r="AE1044" s="96"/>
      <c r="AF1044" s="96"/>
      <c r="AG1044" s="96"/>
      <c r="AH1044" s="96"/>
      <c r="AI1044" s="96"/>
      <c r="AJ1044" s="96"/>
      <c r="AK1044" s="96"/>
      <c r="AL1044" s="96"/>
      <c r="AM1044" s="96"/>
      <c r="AN1044" s="96"/>
      <c r="AO1044" s="96"/>
      <c r="AP1044" s="96"/>
      <c r="AQ1044" s="96"/>
      <c r="AR1044" s="140"/>
      <c r="AS1044" s="140"/>
    </row>
    <row r="1045" spans="23:45">
      <c r="W1045" s="96"/>
      <c r="X1045" s="96"/>
      <c r="Y1045" s="96"/>
      <c r="Z1045" s="96"/>
      <c r="AA1045" s="96"/>
      <c r="AB1045" s="96"/>
      <c r="AC1045" s="96"/>
      <c r="AD1045" s="96"/>
      <c r="AE1045" s="96"/>
      <c r="AF1045" s="96"/>
      <c r="AG1045" s="96"/>
      <c r="AH1045" s="96"/>
      <c r="AI1045" s="96"/>
      <c r="AJ1045" s="96"/>
      <c r="AK1045" s="96"/>
      <c r="AL1045" s="96"/>
      <c r="AM1045" s="96"/>
      <c r="AN1045" s="96"/>
      <c r="AO1045" s="96"/>
      <c r="AP1045" s="96"/>
      <c r="AQ1045" s="96"/>
      <c r="AR1045" s="140"/>
      <c r="AS1045" s="140"/>
    </row>
    <row r="1046" spans="23:45">
      <c r="W1046" s="96"/>
      <c r="X1046" s="96"/>
      <c r="Y1046" s="96"/>
      <c r="Z1046" s="96"/>
      <c r="AA1046" s="96"/>
      <c r="AB1046" s="96"/>
      <c r="AC1046" s="96"/>
      <c r="AD1046" s="96"/>
      <c r="AE1046" s="96"/>
      <c r="AF1046" s="96"/>
      <c r="AG1046" s="96"/>
      <c r="AH1046" s="96"/>
      <c r="AI1046" s="96"/>
      <c r="AJ1046" s="96"/>
      <c r="AK1046" s="96"/>
      <c r="AL1046" s="96"/>
      <c r="AM1046" s="96"/>
      <c r="AN1046" s="96"/>
      <c r="AO1046" s="96"/>
      <c r="AP1046" s="96"/>
      <c r="AQ1046" s="96"/>
      <c r="AR1046" s="140"/>
      <c r="AS1046" s="140"/>
    </row>
    <row r="1047" spans="23:45">
      <c r="W1047" s="96"/>
      <c r="X1047" s="96"/>
      <c r="Y1047" s="96"/>
      <c r="Z1047" s="96"/>
      <c r="AA1047" s="96"/>
      <c r="AB1047" s="96"/>
      <c r="AC1047" s="96"/>
      <c r="AD1047" s="96"/>
      <c r="AE1047" s="96"/>
      <c r="AF1047" s="96"/>
      <c r="AG1047" s="96"/>
      <c r="AH1047" s="96"/>
      <c r="AI1047" s="96"/>
      <c r="AJ1047" s="96"/>
      <c r="AK1047" s="96"/>
      <c r="AL1047" s="96"/>
      <c r="AM1047" s="96"/>
      <c r="AN1047" s="96"/>
      <c r="AO1047" s="96"/>
      <c r="AP1047" s="96"/>
      <c r="AQ1047" s="96"/>
      <c r="AR1047" s="140"/>
      <c r="AS1047" s="140"/>
    </row>
    <row r="1048" spans="23:45">
      <c r="W1048" s="96"/>
      <c r="X1048" s="96"/>
      <c r="Y1048" s="96"/>
      <c r="Z1048" s="96"/>
      <c r="AA1048" s="96"/>
      <c r="AB1048" s="96"/>
      <c r="AC1048" s="96"/>
      <c r="AD1048" s="96"/>
      <c r="AE1048" s="96"/>
      <c r="AF1048" s="96"/>
      <c r="AG1048" s="96"/>
      <c r="AH1048" s="96"/>
      <c r="AI1048" s="96"/>
      <c r="AJ1048" s="96"/>
      <c r="AK1048" s="96"/>
      <c r="AL1048" s="96"/>
      <c r="AM1048" s="96"/>
      <c r="AN1048" s="96"/>
      <c r="AO1048" s="96"/>
      <c r="AP1048" s="96"/>
      <c r="AQ1048" s="96"/>
      <c r="AR1048" s="140"/>
      <c r="AS1048" s="140"/>
    </row>
    <row r="1049" spans="23:45">
      <c r="W1049" s="96"/>
      <c r="X1049" s="96"/>
      <c r="Y1049" s="96"/>
      <c r="Z1049" s="96"/>
      <c r="AA1049" s="96"/>
      <c r="AB1049" s="96"/>
      <c r="AC1049" s="96"/>
      <c r="AD1049" s="96"/>
      <c r="AE1049" s="96"/>
      <c r="AF1049" s="96"/>
      <c r="AG1049" s="96"/>
      <c r="AH1049" s="96"/>
      <c r="AI1049" s="96"/>
      <c r="AJ1049" s="96"/>
      <c r="AK1049" s="96"/>
      <c r="AL1049" s="96"/>
      <c r="AM1049" s="96"/>
      <c r="AN1049" s="96"/>
      <c r="AO1049" s="96"/>
      <c r="AP1049" s="96"/>
      <c r="AQ1049" s="96"/>
      <c r="AR1049" s="140"/>
      <c r="AS1049" s="140"/>
    </row>
    <row r="1050" spans="23:45">
      <c r="W1050" s="96"/>
      <c r="X1050" s="96"/>
      <c r="Y1050" s="96"/>
      <c r="Z1050" s="96"/>
      <c r="AA1050" s="96"/>
      <c r="AB1050" s="96"/>
      <c r="AC1050" s="96"/>
      <c r="AD1050" s="96"/>
      <c r="AE1050" s="96"/>
      <c r="AF1050" s="96"/>
      <c r="AG1050" s="96"/>
      <c r="AH1050" s="96"/>
      <c r="AI1050" s="96"/>
      <c r="AJ1050" s="96"/>
      <c r="AK1050" s="96"/>
      <c r="AL1050" s="96"/>
      <c r="AM1050" s="96"/>
      <c r="AN1050" s="96"/>
      <c r="AO1050" s="96"/>
      <c r="AP1050" s="96"/>
      <c r="AQ1050" s="96"/>
      <c r="AR1050" s="140"/>
      <c r="AS1050" s="140"/>
    </row>
    <row r="1051" spans="23:45">
      <c r="W1051" s="96"/>
      <c r="X1051" s="96"/>
      <c r="Y1051" s="96"/>
      <c r="Z1051" s="96"/>
      <c r="AA1051" s="96"/>
      <c r="AB1051" s="96"/>
      <c r="AC1051" s="96"/>
      <c r="AD1051" s="96"/>
      <c r="AE1051" s="96"/>
      <c r="AF1051" s="96"/>
      <c r="AG1051" s="96"/>
      <c r="AH1051" s="96"/>
      <c r="AI1051" s="96"/>
      <c r="AJ1051" s="96"/>
      <c r="AK1051" s="96"/>
      <c r="AL1051" s="96"/>
      <c r="AM1051" s="96"/>
      <c r="AN1051" s="96"/>
      <c r="AO1051" s="96"/>
      <c r="AP1051" s="96"/>
      <c r="AQ1051" s="96"/>
      <c r="AR1051" s="140"/>
      <c r="AS1051" s="140"/>
    </row>
    <row r="1052" spans="23:45">
      <c r="W1052" s="96"/>
      <c r="X1052" s="96"/>
      <c r="Y1052" s="96"/>
      <c r="Z1052" s="96"/>
      <c r="AA1052" s="96"/>
      <c r="AB1052" s="96"/>
      <c r="AC1052" s="96"/>
      <c r="AD1052" s="96"/>
      <c r="AE1052" s="96"/>
      <c r="AF1052" s="96"/>
      <c r="AG1052" s="96"/>
      <c r="AH1052" s="96"/>
      <c r="AI1052" s="96"/>
      <c r="AJ1052" s="96"/>
      <c r="AK1052" s="96"/>
      <c r="AL1052" s="96"/>
      <c r="AM1052" s="96"/>
      <c r="AN1052" s="96"/>
      <c r="AO1052" s="96"/>
      <c r="AP1052" s="96"/>
      <c r="AQ1052" s="96"/>
      <c r="AR1052" s="140"/>
      <c r="AS1052" s="140"/>
    </row>
    <row r="1053" spans="23:45">
      <c r="W1053" s="96"/>
      <c r="X1053" s="96"/>
      <c r="Y1053" s="96"/>
      <c r="Z1053" s="96"/>
      <c r="AA1053" s="96"/>
      <c r="AB1053" s="96"/>
      <c r="AC1053" s="96"/>
      <c r="AD1053" s="96"/>
      <c r="AE1053" s="96"/>
      <c r="AF1053" s="96"/>
      <c r="AG1053" s="96"/>
      <c r="AH1053" s="96"/>
      <c r="AI1053" s="96"/>
      <c r="AJ1053" s="96"/>
      <c r="AK1053" s="96"/>
      <c r="AL1053" s="96"/>
      <c r="AM1053" s="96"/>
      <c r="AN1053" s="96"/>
      <c r="AO1053" s="96"/>
      <c r="AP1053" s="96"/>
      <c r="AQ1053" s="96"/>
      <c r="AR1053" s="140"/>
      <c r="AS1053" s="140"/>
    </row>
    <row r="1054" spans="23:45">
      <c r="W1054" s="96"/>
      <c r="X1054" s="96"/>
      <c r="Y1054" s="96"/>
      <c r="Z1054" s="96"/>
      <c r="AA1054" s="96"/>
      <c r="AB1054" s="96"/>
      <c r="AC1054" s="96"/>
      <c r="AD1054" s="96"/>
      <c r="AE1054" s="96"/>
      <c r="AF1054" s="96"/>
      <c r="AG1054" s="96"/>
      <c r="AH1054" s="96"/>
      <c r="AI1054" s="96"/>
      <c r="AJ1054" s="96"/>
      <c r="AK1054" s="96"/>
      <c r="AL1054" s="96"/>
      <c r="AM1054" s="96"/>
      <c r="AN1054" s="96"/>
      <c r="AO1054" s="96"/>
      <c r="AP1054" s="96"/>
      <c r="AQ1054" s="96"/>
      <c r="AR1054" s="140"/>
      <c r="AS1054" s="140"/>
    </row>
    <row r="1055" spans="23:45">
      <c r="W1055" s="96"/>
      <c r="X1055" s="96"/>
      <c r="Y1055" s="96"/>
      <c r="Z1055" s="96"/>
      <c r="AA1055" s="96"/>
      <c r="AB1055" s="96"/>
      <c r="AC1055" s="96"/>
      <c r="AD1055" s="96"/>
      <c r="AE1055" s="96"/>
      <c r="AF1055" s="96"/>
      <c r="AG1055" s="96"/>
      <c r="AH1055" s="96"/>
      <c r="AI1055" s="96"/>
      <c r="AJ1055" s="96"/>
      <c r="AK1055" s="96"/>
      <c r="AL1055" s="96"/>
      <c r="AM1055" s="96"/>
      <c r="AN1055" s="96"/>
      <c r="AO1055" s="96"/>
      <c r="AP1055" s="96"/>
      <c r="AQ1055" s="96"/>
      <c r="AR1055" s="140"/>
      <c r="AS1055" s="140"/>
    </row>
    <row r="1056" spans="23:45">
      <c r="W1056" s="96"/>
      <c r="X1056" s="96"/>
      <c r="Y1056" s="96"/>
      <c r="Z1056" s="96"/>
      <c r="AA1056" s="96"/>
      <c r="AB1056" s="96"/>
      <c r="AC1056" s="96"/>
      <c r="AD1056" s="96"/>
      <c r="AE1056" s="96"/>
      <c r="AF1056" s="96"/>
      <c r="AG1056" s="96"/>
      <c r="AH1056" s="96"/>
      <c r="AI1056" s="96"/>
      <c r="AJ1056" s="96"/>
      <c r="AK1056" s="96"/>
      <c r="AL1056" s="96"/>
      <c r="AM1056" s="96"/>
      <c r="AN1056" s="96"/>
      <c r="AO1056" s="96"/>
      <c r="AP1056" s="96"/>
      <c r="AQ1056" s="96"/>
      <c r="AR1056" s="140"/>
      <c r="AS1056" s="140"/>
    </row>
    <row r="1057" spans="23:45">
      <c r="W1057" s="96"/>
      <c r="X1057" s="96"/>
      <c r="Y1057" s="96"/>
      <c r="Z1057" s="96"/>
      <c r="AA1057" s="96"/>
      <c r="AB1057" s="96"/>
      <c r="AC1057" s="96"/>
      <c r="AD1057" s="96"/>
      <c r="AE1057" s="96"/>
      <c r="AF1057" s="96"/>
      <c r="AG1057" s="96"/>
      <c r="AH1057" s="96"/>
      <c r="AI1057" s="96"/>
      <c r="AJ1057" s="96"/>
      <c r="AK1057" s="96"/>
      <c r="AL1057" s="96"/>
      <c r="AM1057" s="96"/>
      <c r="AN1057" s="96"/>
      <c r="AO1057" s="96"/>
      <c r="AP1057" s="96"/>
      <c r="AQ1057" s="96"/>
      <c r="AR1057" s="140"/>
      <c r="AS1057" s="140"/>
    </row>
    <row r="1058" spans="23:45">
      <c r="W1058" s="96"/>
      <c r="X1058" s="96"/>
      <c r="Y1058" s="96"/>
      <c r="Z1058" s="96"/>
      <c r="AA1058" s="96"/>
      <c r="AB1058" s="96"/>
      <c r="AC1058" s="96"/>
      <c r="AD1058" s="96"/>
      <c r="AE1058" s="96"/>
      <c r="AF1058" s="96"/>
      <c r="AG1058" s="96"/>
      <c r="AH1058" s="96"/>
      <c r="AI1058" s="96"/>
      <c r="AJ1058" s="96"/>
      <c r="AK1058" s="96"/>
      <c r="AL1058" s="96"/>
      <c r="AM1058" s="96"/>
      <c r="AN1058" s="96"/>
      <c r="AO1058" s="96"/>
      <c r="AP1058" s="96"/>
      <c r="AQ1058" s="96"/>
      <c r="AR1058" s="140"/>
      <c r="AS1058" s="140"/>
    </row>
    <row r="1059" spans="23:45">
      <c r="W1059" s="96"/>
      <c r="X1059" s="96"/>
      <c r="Y1059" s="96"/>
      <c r="Z1059" s="96"/>
      <c r="AA1059" s="96"/>
      <c r="AB1059" s="96"/>
      <c r="AC1059" s="96"/>
      <c r="AD1059" s="96"/>
      <c r="AE1059" s="96"/>
      <c r="AF1059" s="96"/>
      <c r="AG1059" s="96"/>
      <c r="AH1059" s="96"/>
      <c r="AI1059" s="96"/>
      <c r="AJ1059" s="96"/>
      <c r="AK1059" s="96"/>
      <c r="AL1059" s="96"/>
      <c r="AM1059" s="96"/>
      <c r="AN1059" s="96"/>
      <c r="AO1059" s="96"/>
      <c r="AP1059" s="96"/>
      <c r="AQ1059" s="96"/>
      <c r="AR1059" s="140"/>
      <c r="AS1059" s="140"/>
    </row>
    <row r="1060" spans="23:45">
      <c r="W1060" s="96"/>
      <c r="X1060" s="96"/>
      <c r="Y1060" s="96"/>
      <c r="Z1060" s="96"/>
      <c r="AA1060" s="96"/>
      <c r="AB1060" s="96"/>
      <c r="AC1060" s="96"/>
      <c r="AD1060" s="96"/>
      <c r="AE1060" s="96"/>
      <c r="AF1060" s="96"/>
      <c r="AG1060" s="96"/>
      <c r="AH1060" s="96"/>
      <c r="AI1060" s="96"/>
      <c r="AJ1060" s="96"/>
      <c r="AK1060" s="96"/>
      <c r="AL1060" s="96"/>
      <c r="AM1060" s="96"/>
      <c r="AN1060" s="96"/>
      <c r="AO1060" s="96"/>
      <c r="AP1060" s="96"/>
      <c r="AQ1060" s="96"/>
      <c r="AR1060" s="140"/>
      <c r="AS1060" s="140"/>
    </row>
    <row r="1061" spans="23:45">
      <c r="W1061" s="96"/>
      <c r="X1061" s="96"/>
      <c r="Y1061" s="96"/>
      <c r="Z1061" s="96"/>
      <c r="AA1061" s="96"/>
      <c r="AB1061" s="96"/>
      <c r="AC1061" s="96"/>
      <c r="AD1061" s="96"/>
      <c r="AE1061" s="96"/>
      <c r="AF1061" s="96"/>
      <c r="AG1061" s="96"/>
      <c r="AH1061" s="96"/>
      <c r="AI1061" s="96"/>
      <c r="AJ1061" s="96"/>
      <c r="AK1061" s="96"/>
      <c r="AL1061" s="96"/>
      <c r="AM1061" s="96"/>
      <c r="AN1061" s="96"/>
      <c r="AO1061" s="96"/>
      <c r="AP1061" s="96"/>
      <c r="AQ1061" s="96"/>
      <c r="AR1061" s="140"/>
      <c r="AS1061" s="140"/>
    </row>
    <row r="1062" spans="23:45">
      <c r="W1062" s="96"/>
      <c r="X1062" s="96"/>
      <c r="Y1062" s="96"/>
      <c r="Z1062" s="96"/>
      <c r="AA1062" s="96"/>
      <c r="AB1062" s="96"/>
      <c r="AC1062" s="96"/>
      <c r="AD1062" s="96"/>
      <c r="AE1062" s="96"/>
      <c r="AF1062" s="96"/>
      <c r="AG1062" s="96"/>
      <c r="AH1062" s="96"/>
      <c r="AI1062" s="96"/>
      <c r="AJ1062" s="96"/>
      <c r="AK1062" s="96"/>
      <c r="AL1062" s="96"/>
      <c r="AM1062" s="96"/>
      <c r="AN1062" s="96"/>
      <c r="AO1062" s="96"/>
      <c r="AP1062" s="96"/>
      <c r="AQ1062" s="96"/>
      <c r="AR1062" s="140"/>
      <c r="AS1062" s="140"/>
    </row>
    <row r="1063" spans="23:45">
      <c r="W1063" s="96"/>
      <c r="X1063" s="96"/>
      <c r="Y1063" s="96"/>
      <c r="Z1063" s="96"/>
      <c r="AA1063" s="96"/>
      <c r="AB1063" s="96"/>
      <c r="AC1063" s="96"/>
      <c r="AD1063" s="96"/>
      <c r="AE1063" s="96"/>
      <c r="AF1063" s="96"/>
      <c r="AG1063" s="96"/>
      <c r="AH1063" s="96"/>
      <c r="AI1063" s="96"/>
      <c r="AJ1063" s="96"/>
      <c r="AK1063" s="96"/>
      <c r="AL1063" s="96"/>
      <c r="AM1063" s="96"/>
      <c r="AN1063" s="96"/>
      <c r="AO1063" s="96"/>
      <c r="AP1063" s="96"/>
      <c r="AQ1063" s="96"/>
      <c r="AR1063" s="140"/>
      <c r="AS1063" s="140"/>
    </row>
    <row r="1064" spans="23:45">
      <c r="W1064" s="96"/>
      <c r="X1064" s="96"/>
      <c r="Y1064" s="96"/>
      <c r="Z1064" s="96"/>
      <c r="AA1064" s="96"/>
      <c r="AB1064" s="96"/>
      <c r="AC1064" s="96"/>
      <c r="AD1064" s="96"/>
      <c r="AE1064" s="96"/>
      <c r="AF1064" s="96"/>
      <c r="AG1064" s="96"/>
      <c r="AH1064" s="96"/>
      <c r="AI1064" s="96"/>
      <c r="AJ1064" s="96"/>
      <c r="AK1064" s="96"/>
      <c r="AL1064" s="96"/>
      <c r="AM1064" s="96"/>
      <c r="AN1064" s="96"/>
      <c r="AO1064" s="96"/>
      <c r="AP1064" s="96"/>
      <c r="AQ1064" s="96"/>
      <c r="AR1064" s="140"/>
      <c r="AS1064" s="140"/>
    </row>
    <row r="1065" spans="23:45">
      <c r="W1065" s="96"/>
      <c r="X1065" s="96"/>
      <c r="Y1065" s="96"/>
      <c r="Z1065" s="96"/>
      <c r="AA1065" s="96"/>
      <c r="AB1065" s="96"/>
      <c r="AC1065" s="96"/>
      <c r="AD1065" s="96"/>
      <c r="AE1065" s="96"/>
      <c r="AF1065" s="96"/>
      <c r="AG1065" s="96"/>
      <c r="AH1065" s="96"/>
      <c r="AI1065" s="96"/>
      <c r="AJ1065" s="96"/>
      <c r="AK1065" s="96"/>
      <c r="AL1065" s="96"/>
      <c r="AM1065" s="96"/>
      <c r="AN1065" s="96"/>
      <c r="AO1065" s="96"/>
      <c r="AP1065" s="96"/>
      <c r="AQ1065" s="96"/>
      <c r="AR1065" s="140"/>
      <c r="AS1065" s="140"/>
    </row>
    <row r="1066" spans="23:45">
      <c r="W1066" s="96"/>
      <c r="X1066" s="96"/>
      <c r="Y1066" s="96"/>
      <c r="Z1066" s="96"/>
      <c r="AA1066" s="96"/>
      <c r="AB1066" s="96"/>
      <c r="AC1066" s="96"/>
      <c r="AD1066" s="96"/>
      <c r="AE1066" s="96"/>
      <c r="AF1066" s="96"/>
      <c r="AG1066" s="96"/>
      <c r="AH1066" s="96"/>
      <c r="AI1066" s="96"/>
      <c r="AJ1066" s="96"/>
      <c r="AK1066" s="96"/>
      <c r="AL1066" s="96"/>
      <c r="AM1066" s="96"/>
      <c r="AN1066" s="96"/>
      <c r="AO1066" s="96"/>
      <c r="AP1066" s="96"/>
      <c r="AQ1066" s="96"/>
      <c r="AR1066" s="140"/>
      <c r="AS1066" s="140"/>
    </row>
    <row r="1067" spans="23:45">
      <c r="W1067" s="96"/>
      <c r="X1067" s="96"/>
      <c r="Y1067" s="96"/>
      <c r="Z1067" s="96"/>
      <c r="AA1067" s="96"/>
      <c r="AB1067" s="96"/>
      <c r="AC1067" s="96"/>
      <c r="AD1067" s="96"/>
      <c r="AE1067" s="96"/>
      <c r="AF1067" s="96"/>
      <c r="AG1067" s="96"/>
      <c r="AH1067" s="96"/>
      <c r="AI1067" s="96"/>
      <c r="AJ1067" s="96"/>
      <c r="AK1067" s="96"/>
      <c r="AL1067" s="96"/>
      <c r="AM1067" s="96"/>
      <c r="AN1067" s="96"/>
      <c r="AO1067" s="96"/>
      <c r="AP1067" s="96"/>
      <c r="AQ1067" s="96"/>
      <c r="AR1067" s="140"/>
      <c r="AS1067" s="140"/>
    </row>
    <row r="1068" spans="23:45">
      <c r="W1068" s="96"/>
      <c r="X1068" s="96"/>
      <c r="Y1068" s="96"/>
      <c r="Z1068" s="96"/>
      <c r="AA1068" s="96"/>
      <c r="AB1068" s="96"/>
      <c r="AC1068" s="96"/>
      <c r="AD1068" s="96"/>
      <c r="AE1068" s="96"/>
      <c r="AF1068" s="96"/>
      <c r="AG1068" s="96"/>
      <c r="AH1068" s="96"/>
      <c r="AI1068" s="96"/>
      <c r="AJ1068" s="96"/>
      <c r="AK1068" s="96"/>
      <c r="AL1068" s="96"/>
      <c r="AM1068" s="96"/>
      <c r="AN1068" s="96"/>
      <c r="AO1068" s="96"/>
      <c r="AP1068" s="96"/>
      <c r="AQ1068" s="96"/>
      <c r="AR1068" s="140"/>
      <c r="AS1068" s="140"/>
    </row>
    <row r="1069" spans="23:45">
      <c r="W1069" s="96"/>
      <c r="X1069" s="96"/>
      <c r="Y1069" s="96"/>
      <c r="Z1069" s="96"/>
      <c r="AA1069" s="96"/>
      <c r="AB1069" s="96"/>
      <c r="AC1069" s="96"/>
      <c r="AD1069" s="96"/>
      <c r="AE1069" s="96"/>
      <c r="AF1069" s="96"/>
      <c r="AG1069" s="96"/>
      <c r="AH1069" s="96"/>
      <c r="AI1069" s="96"/>
      <c r="AJ1069" s="96"/>
      <c r="AK1069" s="96"/>
      <c r="AL1069" s="96"/>
      <c r="AM1069" s="96"/>
      <c r="AN1069" s="96"/>
      <c r="AO1069" s="96"/>
      <c r="AP1069" s="96"/>
      <c r="AQ1069" s="96"/>
      <c r="AR1069" s="140"/>
      <c r="AS1069" s="140"/>
    </row>
    <row r="1070" spans="23:45">
      <c r="W1070" s="96"/>
      <c r="X1070" s="96"/>
      <c r="Y1070" s="96"/>
      <c r="Z1070" s="96"/>
      <c r="AA1070" s="96"/>
      <c r="AB1070" s="96"/>
      <c r="AC1070" s="96"/>
      <c r="AD1070" s="96"/>
      <c r="AE1070" s="96"/>
      <c r="AF1070" s="96"/>
      <c r="AG1070" s="96"/>
      <c r="AH1070" s="96"/>
      <c r="AI1070" s="96"/>
      <c r="AJ1070" s="96"/>
      <c r="AK1070" s="96"/>
      <c r="AL1070" s="96"/>
      <c r="AM1070" s="96"/>
      <c r="AN1070" s="96"/>
      <c r="AO1070" s="96"/>
      <c r="AP1070" s="96"/>
      <c r="AQ1070" s="96"/>
      <c r="AR1070" s="140"/>
      <c r="AS1070" s="140"/>
    </row>
    <row r="1071" spans="23:45">
      <c r="W1071" s="96"/>
      <c r="X1071" s="96"/>
      <c r="Y1071" s="96"/>
      <c r="Z1071" s="96"/>
      <c r="AA1071" s="96"/>
      <c r="AB1071" s="96"/>
      <c r="AC1071" s="96"/>
      <c r="AD1071" s="96"/>
      <c r="AE1071" s="96"/>
      <c r="AF1071" s="96"/>
      <c r="AG1071" s="96"/>
      <c r="AH1071" s="96"/>
      <c r="AI1071" s="96"/>
      <c r="AJ1071" s="96"/>
      <c r="AK1071" s="96"/>
      <c r="AL1071" s="96"/>
      <c r="AM1071" s="96"/>
      <c r="AN1071" s="96"/>
      <c r="AO1071" s="96"/>
      <c r="AP1071" s="96"/>
      <c r="AQ1071" s="96"/>
      <c r="AR1071" s="140"/>
      <c r="AS1071" s="140"/>
    </row>
    <row r="1072" spans="23:45">
      <c r="W1072" s="96"/>
      <c r="X1072" s="96"/>
      <c r="Y1072" s="96"/>
      <c r="Z1072" s="96"/>
      <c r="AA1072" s="96"/>
      <c r="AB1072" s="96"/>
      <c r="AC1072" s="96"/>
      <c r="AD1072" s="96"/>
      <c r="AE1072" s="96"/>
      <c r="AF1072" s="96"/>
      <c r="AG1072" s="96"/>
      <c r="AH1072" s="96"/>
      <c r="AI1072" s="96"/>
      <c r="AJ1072" s="96"/>
      <c r="AK1072" s="96"/>
      <c r="AL1072" s="96"/>
      <c r="AM1072" s="96"/>
      <c r="AN1072" s="96"/>
      <c r="AO1072" s="96"/>
      <c r="AP1072" s="96"/>
      <c r="AQ1072" s="96"/>
      <c r="AR1072" s="140"/>
      <c r="AS1072" s="140"/>
    </row>
    <row r="1073" spans="23:45">
      <c r="W1073" s="96"/>
      <c r="X1073" s="96"/>
      <c r="Y1073" s="96"/>
      <c r="Z1073" s="96"/>
      <c r="AA1073" s="96"/>
      <c r="AB1073" s="96"/>
      <c r="AC1073" s="96"/>
      <c r="AD1073" s="96"/>
      <c r="AE1073" s="96"/>
      <c r="AF1073" s="96"/>
      <c r="AG1073" s="96"/>
      <c r="AH1073" s="96"/>
      <c r="AI1073" s="96"/>
      <c r="AJ1073" s="96"/>
      <c r="AK1073" s="96"/>
      <c r="AL1073" s="96"/>
      <c r="AM1073" s="96"/>
      <c r="AN1073" s="96"/>
      <c r="AO1073" s="96"/>
      <c r="AP1073" s="96"/>
      <c r="AQ1073" s="96"/>
      <c r="AR1073" s="140"/>
      <c r="AS1073" s="140"/>
    </row>
    <row r="1074" spans="23:45">
      <c r="W1074" s="96"/>
      <c r="X1074" s="96"/>
      <c r="Y1074" s="96"/>
      <c r="Z1074" s="96"/>
      <c r="AA1074" s="96"/>
      <c r="AB1074" s="96"/>
      <c r="AC1074" s="96"/>
      <c r="AD1074" s="96"/>
      <c r="AE1074" s="96"/>
      <c r="AF1074" s="96"/>
      <c r="AG1074" s="96"/>
      <c r="AH1074" s="96"/>
      <c r="AI1074" s="96"/>
      <c r="AJ1074" s="96"/>
      <c r="AK1074" s="96"/>
      <c r="AL1074" s="96"/>
      <c r="AM1074" s="96"/>
      <c r="AN1074" s="96"/>
      <c r="AO1074" s="96"/>
      <c r="AP1074" s="96"/>
      <c r="AQ1074" s="96"/>
      <c r="AR1074" s="140"/>
      <c r="AS1074" s="140"/>
    </row>
    <row r="1075" spans="23:45">
      <c r="W1075" s="96"/>
      <c r="X1075" s="96"/>
      <c r="Y1075" s="96"/>
      <c r="Z1075" s="96"/>
      <c r="AA1075" s="96"/>
      <c r="AB1075" s="96"/>
      <c r="AC1075" s="96"/>
      <c r="AD1075" s="96"/>
      <c r="AE1075" s="96"/>
      <c r="AF1075" s="96"/>
      <c r="AG1075" s="96"/>
      <c r="AH1075" s="96"/>
      <c r="AI1075" s="96"/>
      <c r="AJ1075" s="96"/>
      <c r="AK1075" s="96"/>
      <c r="AL1075" s="96"/>
      <c r="AM1075" s="96"/>
      <c r="AN1075" s="96"/>
      <c r="AO1075" s="96"/>
      <c r="AP1075" s="96"/>
      <c r="AQ1075" s="96"/>
      <c r="AR1075" s="140"/>
      <c r="AS1075" s="140"/>
    </row>
    <row r="1076" spans="23:45">
      <c r="W1076" s="96"/>
      <c r="X1076" s="96"/>
      <c r="Y1076" s="96"/>
      <c r="Z1076" s="96"/>
      <c r="AA1076" s="96"/>
      <c r="AB1076" s="96"/>
      <c r="AC1076" s="96"/>
      <c r="AD1076" s="96"/>
      <c r="AE1076" s="96"/>
      <c r="AF1076" s="96"/>
      <c r="AG1076" s="96"/>
      <c r="AH1076" s="96"/>
      <c r="AI1076" s="96"/>
      <c r="AJ1076" s="96"/>
      <c r="AK1076" s="96"/>
      <c r="AL1076" s="96"/>
      <c r="AM1076" s="96"/>
      <c r="AN1076" s="96"/>
      <c r="AO1076" s="96"/>
      <c r="AP1076" s="96"/>
      <c r="AQ1076" s="96"/>
      <c r="AR1076" s="140"/>
      <c r="AS1076" s="140"/>
    </row>
    <row r="1077" spans="23:45">
      <c r="W1077" s="96"/>
      <c r="X1077" s="96"/>
      <c r="Y1077" s="96"/>
      <c r="Z1077" s="96"/>
      <c r="AA1077" s="96"/>
      <c r="AB1077" s="96"/>
      <c r="AC1077" s="96"/>
      <c r="AD1077" s="96"/>
      <c r="AE1077" s="96"/>
      <c r="AF1077" s="96"/>
      <c r="AG1077" s="96"/>
      <c r="AH1077" s="96"/>
      <c r="AI1077" s="96"/>
      <c r="AJ1077" s="96"/>
      <c r="AK1077" s="96"/>
      <c r="AL1077" s="96"/>
      <c r="AM1077" s="96"/>
      <c r="AN1077" s="96"/>
      <c r="AO1077" s="96"/>
      <c r="AP1077" s="96"/>
      <c r="AQ1077" s="96"/>
      <c r="AR1077" s="140"/>
      <c r="AS1077" s="140"/>
    </row>
    <row r="1078" spans="23:45">
      <c r="W1078" s="96"/>
      <c r="X1078" s="96"/>
      <c r="Y1078" s="96"/>
      <c r="Z1078" s="96"/>
      <c r="AA1078" s="96"/>
      <c r="AB1078" s="96"/>
      <c r="AC1078" s="96"/>
      <c r="AD1078" s="96"/>
      <c r="AE1078" s="96"/>
      <c r="AF1078" s="96"/>
      <c r="AG1078" s="96"/>
      <c r="AH1078" s="96"/>
      <c r="AI1078" s="96"/>
      <c r="AJ1078" s="96"/>
      <c r="AK1078" s="96"/>
      <c r="AL1078" s="96"/>
      <c r="AM1078" s="96"/>
      <c r="AN1078" s="96"/>
      <c r="AO1078" s="96"/>
      <c r="AP1078" s="96"/>
      <c r="AQ1078" s="96"/>
      <c r="AR1078" s="140"/>
      <c r="AS1078" s="140"/>
    </row>
    <row r="1079" spans="23:45">
      <c r="W1079" s="96"/>
      <c r="X1079" s="96"/>
      <c r="Y1079" s="96"/>
      <c r="Z1079" s="96"/>
      <c r="AA1079" s="96"/>
      <c r="AB1079" s="96"/>
      <c r="AC1079" s="96"/>
      <c r="AD1079" s="96"/>
      <c r="AE1079" s="96"/>
      <c r="AF1079" s="96"/>
      <c r="AG1079" s="96"/>
      <c r="AH1079" s="96"/>
      <c r="AI1079" s="96"/>
      <c r="AJ1079" s="96"/>
      <c r="AK1079" s="96"/>
      <c r="AL1079" s="96"/>
      <c r="AM1079" s="96"/>
      <c r="AN1079" s="96"/>
      <c r="AO1079" s="96"/>
      <c r="AP1079" s="96"/>
      <c r="AQ1079" s="96"/>
      <c r="AR1079" s="140"/>
      <c r="AS1079" s="140"/>
    </row>
    <row r="1080" spans="23:45">
      <c r="W1080" s="96"/>
      <c r="X1080" s="96"/>
      <c r="Y1080" s="96"/>
      <c r="Z1080" s="96"/>
      <c r="AA1080" s="96"/>
      <c r="AB1080" s="96"/>
      <c r="AC1080" s="96"/>
      <c r="AD1080" s="96"/>
      <c r="AE1080" s="96"/>
      <c r="AF1080" s="96"/>
      <c r="AG1080" s="96"/>
      <c r="AH1080" s="96"/>
      <c r="AI1080" s="96"/>
      <c r="AJ1080" s="96"/>
      <c r="AK1080" s="96"/>
      <c r="AL1080" s="96"/>
      <c r="AM1080" s="96"/>
      <c r="AN1080" s="96"/>
      <c r="AO1080" s="96"/>
      <c r="AP1080" s="96"/>
      <c r="AQ1080" s="96"/>
      <c r="AR1080" s="140"/>
      <c r="AS1080" s="140"/>
    </row>
    <row r="1081" spans="23:45">
      <c r="W1081" s="96"/>
      <c r="X1081" s="96"/>
      <c r="Y1081" s="96"/>
      <c r="Z1081" s="96"/>
      <c r="AA1081" s="96"/>
      <c r="AB1081" s="96"/>
      <c r="AC1081" s="96"/>
      <c r="AD1081" s="96"/>
      <c r="AE1081" s="96"/>
      <c r="AF1081" s="96"/>
      <c r="AG1081" s="96"/>
      <c r="AH1081" s="96"/>
      <c r="AI1081" s="96"/>
      <c r="AJ1081" s="96"/>
      <c r="AK1081" s="96"/>
      <c r="AL1081" s="96"/>
      <c r="AM1081" s="96"/>
      <c r="AN1081" s="96"/>
      <c r="AO1081" s="96"/>
      <c r="AP1081" s="96"/>
      <c r="AQ1081" s="96"/>
      <c r="AR1081" s="140"/>
      <c r="AS1081" s="140"/>
    </row>
    <row r="1082" spans="23:45">
      <c r="W1082" s="96"/>
      <c r="X1082" s="96"/>
      <c r="Y1082" s="96"/>
      <c r="Z1082" s="96"/>
      <c r="AA1082" s="96"/>
      <c r="AB1082" s="96"/>
      <c r="AC1082" s="96"/>
      <c r="AD1082" s="96"/>
      <c r="AE1082" s="96"/>
      <c r="AF1082" s="96"/>
      <c r="AG1082" s="96"/>
      <c r="AH1082" s="96"/>
      <c r="AI1082" s="96"/>
      <c r="AJ1082" s="96"/>
      <c r="AK1082" s="96"/>
      <c r="AL1082" s="96"/>
      <c r="AM1082" s="96"/>
      <c r="AN1082" s="96"/>
      <c r="AO1082" s="96"/>
      <c r="AP1082" s="96"/>
      <c r="AQ1082" s="96"/>
      <c r="AR1082" s="140"/>
      <c r="AS1082" s="140"/>
    </row>
    <row r="1083" spans="23:45">
      <c r="W1083" s="96"/>
      <c r="X1083" s="96"/>
      <c r="Y1083" s="96"/>
      <c r="Z1083" s="96"/>
      <c r="AA1083" s="96"/>
      <c r="AB1083" s="96"/>
      <c r="AC1083" s="96"/>
      <c r="AD1083" s="96"/>
      <c r="AE1083" s="96"/>
      <c r="AF1083" s="96"/>
      <c r="AG1083" s="96"/>
      <c r="AH1083" s="96"/>
      <c r="AI1083" s="96"/>
      <c r="AJ1083" s="96"/>
      <c r="AK1083" s="96"/>
      <c r="AL1083" s="96"/>
      <c r="AM1083" s="96"/>
      <c r="AN1083" s="96"/>
      <c r="AO1083" s="96"/>
      <c r="AP1083" s="96"/>
      <c r="AQ1083" s="96"/>
      <c r="AR1083" s="140"/>
      <c r="AS1083" s="140"/>
    </row>
    <row r="1084" spans="23:45">
      <c r="W1084" s="96"/>
      <c r="X1084" s="96"/>
      <c r="Y1084" s="96"/>
      <c r="Z1084" s="96"/>
      <c r="AA1084" s="96"/>
      <c r="AB1084" s="96"/>
      <c r="AC1084" s="96"/>
      <c r="AD1084" s="96"/>
      <c r="AE1084" s="96"/>
      <c r="AF1084" s="96"/>
      <c r="AG1084" s="96"/>
      <c r="AH1084" s="96"/>
      <c r="AI1084" s="96"/>
      <c r="AJ1084" s="96"/>
      <c r="AK1084" s="96"/>
      <c r="AL1084" s="96"/>
      <c r="AM1084" s="96"/>
      <c r="AN1084" s="96"/>
      <c r="AO1084" s="96"/>
      <c r="AP1084" s="96"/>
      <c r="AQ1084" s="96"/>
      <c r="AR1084" s="140"/>
      <c r="AS1084" s="140"/>
    </row>
    <row r="1085" spans="23:45">
      <c r="W1085" s="96"/>
      <c r="X1085" s="96"/>
      <c r="Y1085" s="96"/>
      <c r="Z1085" s="96"/>
      <c r="AA1085" s="96"/>
      <c r="AB1085" s="96"/>
      <c r="AC1085" s="96"/>
      <c r="AD1085" s="96"/>
      <c r="AE1085" s="96"/>
      <c r="AF1085" s="96"/>
      <c r="AG1085" s="96"/>
      <c r="AH1085" s="96"/>
      <c r="AI1085" s="96"/>
      <c r="AJ1085" s="96"/>
      <c r="AK1085" s="96"/>
      <c r="AL1085" s="96"/>
      <c r="AM1085" s="96"/>
      <c r="AN1085" s="96"/>
      <c r="AO1085" s="96"/>
      <c r="AP1085" s="96"/>
      <c r="AQ1085" s="96"/>
      <c r="AR1085" s="140"/>
      <c r="AS1085" s="140"/>
    </row>
    <row r="1086" spans="23:45">
      <c r="W1086" s="96"/>
      <c r="X1086" s="96"/>
      <c r="Y1086" s="96"/>
      <c r="Z1086" s="96"/>
      <c r="AA1086" s="96"/>
      <c r="AB1086" s="96"/>
      <c r="AC1086" s="96"/>
      <c r="AD1086" s="96"/>
      <c r="AE1086" s="96"/>
      <c r="AF1086" s="96"/>
      <c r="AG1086" s="96"/>
      <c r="AH1086" s="96"/>
      <c r="AI1086" s="96"/>
      <c r="AJ1086" s="96"/>
      <c r="AK1086" s="96"/>
      <c r="AL1086" s="96"/>
      <c r="AM1086" s="96"/>
      <c r="AN1086" s="96"/>
      <c r="AO1086" s="96"/>
      <c r="AP1086" s="96"/>
      <c r="AQ1086" s="96"/>
      <c r="AR1086" s="140"/>
      <c r="AS1086" s="140"/>
    </row>
    <row r="1087" spans="23:45">
      <c r="W1087" s="96"/>
      <c r="X1087" s="96"/>
      <c r="Y1087" s="96"/>
      <c r="Z1087" s="96"/>
      <c r="AA1087" s="96"/>
      <c r="AB1087" s="96"/>
      <c r="AC1087" s="96"/>
      <c r="AD1087" s="96"/>
      <c r="AE1087" s="96"/>
      <c r="AF1087" s="96"/>
      <c r="AG1087" s="96"/>
      <c r="AH1087" s="96"/>
      <c r="AI1087" s="96"/>
      <c r="AJ1087" s="96"/>
      <c r="AK1087" s="96"/>
      <c r="AL1087" s="96"/>
      <c r="AM1087" s="96"/>
      <c r="AN1087" s="96"/>
      <c r="AO1087" s="96"/>
      <c r="AP1087" s="96"/>
      <c r="AQ1087" s="96"/>
      <c r="AR1087" s="140"/>
      <c r="AS1087" s="140"/>
    </row>
    <row r="1088" spans="23:45">
      <c r="W1088" s="96"/>
      <c r="X1088" s="96"/>
      <c r="Y1088" s="96"/>
      <c r="Z1088" s="96"/>
      <c r="AA1088" s="96"/>
      <c r="AB1088" s="96"/>
      <c r="AC1088" s="96"/>
      <c r="AD1088" s="96"/>
      <c r="AE1088" s="96"/>
      <c r="AF1088" s="96"/>
      <c r="AG1088" s="96"/>
      <c r="AH1088" s="96"/>
      <c r="AI1088" s="96"/>
      <c r="AJ1088" s="96"/>
      <c r="AK1088" s="96"/>
      <c r="AL1088" s="96"/>
      <c r="AM1088" s="96"/>
      <c r="AN1088" s="96"/>
      <c r="AO1088" s="96"/>
      <c r="AP1088" s="96"/>
      <c r="AQ1088" s="96"/>
      <c r="AR1088" s="140"/>
      <c r="AS1088" s="140"/>
    </row>
    <row r="1089" spans="23:45">
      <c r="W1089" s="96"/>
      <c r="X1089" s="96"/>
      <c r="Y1089" s="96"/>
      <c r="Z1089" s="96"/>
      <c r="AA1089" s="96"/>
      <c r="AB1089" s="96"/>
      <c r="AC1089" s="96"/>
      <c r="AD1089" s="96"/>
      <c r="AE1089" s="96"/>
      <c r="AF1089" s="96"/>
      <c r="AG1089" s="96"/>
      <c r="AH1089" s="96"/>
      <c r="AI1089" s="96"/>
      <c r="AJ1089" s="96"/>
      <c r="AK1089" s="96"/>
      <c r="AL1089" s="96"/>
      <c r="AM1089" s="96"/>
      <c r="AN1089" s="96"/>
      <c r="AO1089" s="96"/>
      <c r="AP1089" s="96"/>
      <c r="AQ1089" s="96"/>
      <c r="AR1089" s="140"/>
      <c r="AS1089" s="140"/>
    </row>
    <row r="1090" spans="23:45">
      <c r="W1090" s="96"/>
      <c r="X1090" s="96"/>
      <c r="Y1090" s="96"/>
      <c r="Z1090" s="96"/>
      <c r="AA1090" s="96"/>
      <c r="AB1090" s="96"/>
      <c r="AC1090" s="96"/>
      <c r="AD1090" s="96"/>
      <c r="AE1090" s="96"/>
      <c r="AF1090" s="96"/>
      <c r="AG1090" s="96"/>
      <c r="AH1090" s="96"/>
      <c r="AI1090" s="96"/>
      <c r="AJ1090" s="96"/>
      <c r="AK1090" s="96"/>
      <c r="AL1090" s="96"/>
      <c r="AM1090" s="96"/>
      <c r="AN1090" s="96"/>
      <c r="AO1090" s="96"/>
      <c r="AP1090" s="96"/>
      <c r="AQ1090" s="96"/>
      <c r="AR1090" s="140"/>
      <c r="AS1090" s="140"/>
    </row>
    <row r="1091" spans="23:45">
      <c r="W1091" s="96"/>
      <c r="X1091" s="96"/>
      <c r="Y1091" s="96"/>
      <c r="Z1091" s="96"/>
      <c r="AA1091" s="96"/>
      <c r="AB1091" s="96"/>
      <c r="AC1091" s="96"/>
      <c r="AD1091" s="96"/>
      <c r="AE1091" s="96"/>
      <c r="AF1091" s="96"/>
      <c r="AG1091" s="96"/>
      <c r="AH1091" s="96"/>
      <c r="AI1091" s="96"/>
      <c r="AJ1091" s="96"/>
      <c r="AK1091" s="96"/>
      <c r="AL1091" s="96"/>
      <c r="AM1091" s="96"/>
      <c r="AN1091" s="96"/>
      <c r="AO1091" s="96"/>
      <c r="AP1091" s="96"/>
      <c r="AQ1091" s="96"/>
      <c r="AR1091" s="140"/>
      <c r="AS1091" s="140"/>
    </row>
    <row r="1092" spans="23:45">
      <c r="W1092" s="96"/>
      <c r="X1092" s="96"/>
      <c r="Y1092" s="96"/>
      <c r="Z1092" s="96"/>
      <c r="AA1092" s="96"/>
      <c r="AB1092" s="96"/>
      <c r="AC1092" s="96"/>
      <c r="AD1092" s="96"/>
      <c r="AE1092" s="96"/>
      <c r="AF1092" s="96"/>
      <c r="AG1092" s="96"/>
      <c r="AH1092" s="96"/>
      <c r="AI1092" s="96"/>
      <c r="AJ1092" s="96"/>
      <c r="AK1092" s="96"/>
      <c r="AL1092" s="96"/>
      <c r="AM1092" s="96"/>
      <c r="AN1092" s="96"/>
      <c r="AO1092" s="96"/>
      <c r="AP1092" s="96"/>
      <c r="AQ1092" s="96"/>
      <c r="AR1092" s="140"/>
      <c r="AS1092" s="140"/>
    </row>
    <row r="1093" spans="23:45">
      <c r="W1093" s="96"/>
      <c r="X1093" s="96"/>
      <c r="Y1093" s="96"/>
      <c r="Z1093" s="96"/>
      <c r="AA1093" s="96"/>
      <c r="AB1093" s="96"/>
      <c r="AC1093" s="96"/>
      <c r="AD1093" s="96"/>
      <c r="AE1093" s="96"/>
      <c r="AF1093" s="96"/>
      <c r="AG1093" s="96"/>
      <c r="AH1093" s="96"/>
      <c r="AI1093" s="96"/>
      <c r="AJ1093" s="96"/>
      <c r="AK1093" s="96"/>
      <c r="AL1093" s="96"/>
      <c r="AM1093" s="96"/>
      <c r="AN1093" s="96"/>
      <c r="AO1093" s="96"/>
      <c r="AP1093" s="96"/>
      <c r="AQ1093" s="96"/>
      <c r="AR1093" s="140"/>
      <c r="AS1093" s="140"/>
    </row>
    <row r="1094" spans="23:45">
      <c r="W1094" s="96"/>
      <c r="X1094" s="96"/>
      <c r="Y1094" s="96"/>
      <c r="Z1094" s="96"/>
      <c r="AA1094" s="96"/>
      <c r="AB1094" s="96"/>
      <c r="AC1094" s="96"/>
      <c r="AD1094" s="96"/>
      <c r="AE1094" s="96"/>
      <c r="AF1094" s="96"/>
      <c r="AG1094" s="96"/>
      <c r="AH1094" s="96"/>
      <c r="AI1094" s="96"/>
      <c r="AJ1094" s="96"/>
      <c r="AK1094" s="96"/>
      <c r="AL1094" s="96"/>
      <c r="AM1094" s="96"/>
      <c r="AN1094" s="96"/>
      <c r="AO1094" s="96"/>
      <c r="AP1094" s="96"/>
      <c r="AQ1094" s="96"/>
      <c r="AR1094" s="140"/>
      <c r="AS1094" s="140"/>
    </row>
    <row r="1095" spans="23:45">
      <c r="W1095" s="96"/>
      <c r="X1095" s="96"/>
      <c r="Y1095" s="96"/>
      <c r="Z1095" s="96"/>
      <c r="AA1095" s="96"/>
      <c r="AB1095" s="96"/>
      <c r="AC1095" s="96"/>
      <c r="AD1095" s="96"/>
      <c r="AE1095" s="96"/>
      <c r="AF1095" s="96"/>
      <c r="AG1095" s="96"/>
      <c r="AH1095" s="96"/>
      <c r="AI1095" s="96"/>
      <c r="AJ1095" s="96"/>
      <c r="AK1095" s="96"/>
      <c r="AL1095" s="96"/>
      <c r="AM1095" s="96"/>
      <c r="AN1095" s="96"/>
      <c r="AO1095" s="96"/>
      <c r="AP1095" s="96"/>
      <c r="AQ1095" s="96"/>
      <c r="AR1095" s="140"/>
      <c r="AS1095" s="140"/>
    </row>
    <row r="1096" spans="23:45">
      <c r="W1096" s="96"/>
      <c r="X1096" s="96"/>
      <c r="Y1096" s="96"/>
      <c r="Z1096" s="96"/>
      <c r="AA1096" s="96"/>
      <c r="AB1096" s="96"/>
      <c r="AC1096" s="96"/>
      <c r="AD1096" s="96"/>
      <c r="AE1096" s="96"/>
      <c r="AF1096" s="96"/>
      <c r="AG1096" s="96"/>
      <c r="AH1096" s="96"/>
      <c r="AI1096" s="96"/>
      <c r="AJ1096" s="96"/>
      <c r="AK1096" s="96"/>
      <c r="AL1096" s="96"/>
      <c r="AM1096" s="96"/>
      <c r="AN1096" s="96"/>
      <c r="AO1096" s="96"/>
      <c r="AP1096" s="96"/>
      <c r="AQ1096" s="96"/>
      <c r="AR1096" s="140"/>
      <c r="AS1096" s="140"/>
    </row>
    <row r="1097" spans="23:45">
      <c r="W1097" s="96"/>
      <c r="X1097" s="96"/>
      <c r="Y1097" s="96"/>
      <c r="Z1097" s="96"/>
      <c r="AA1097" s="96"/>
      <c r="AB1097" s="96"/>
      <c r="AC1097" s="96"/>
      <c r="AD1097" s="96"/>
      <c r="AE1097" s="96"/>
      <c r="AF1097" s="96"/>
      <c r="AG1097" s="96"/>
      <c r="AH1097" s="96"/>
      <c r="AI1097" s="96"/>
      <c r="AJ1097" s="96"/>
      <c r="AK1097" s="96"/>
      <c r="AL1097" s="96"/>
      <c r="AM1097" s="96"/>
      <c r="AN1097" s="96"/>
      <c r="AO1097" s="96"/>
      <c r="AP1097" s="96"/>
      <c r="AQ1097" s="96"/>
      <c r="AR1097" s="140"/>
      <c r="AS1097" s="140"/>
    </row>
    <row r="1098" spans="23:45">
      <c r="W1098" s="96"/>
      <c r="X1098" s="96"/>
      <c r="Y1098" s="96"/>
      <c r="Z1098" s="96"/>
      <c r="AA1098" s="96"/>
      <c r="AB1098" s="96"/>
      <c r="AC1098" s="96"/>
      <c r="AD1098" s="96"/>
      <c r="AE1098" s="96"/>
      <c r="AF1098" s="96"/>
      <c r="AG1098" s="96"/>
      <c r="AH1098" s="96"/>
      <c r="AI1098" s="96"/>
      <c r="AJ1098" s="96"/>
      <c r="AK1098" s="96"/>
      <c r="AL1098" s="96"/>
      <c r="AM1098" s="96"/>
      <c r="AN1098" s="96"/>
      <c r="AO1098" s="96"/>
      <c r="AP1098" s="96"/>
      <c r="AQ1098" s="96"/>
      <c r="AR1098" s="140"/>
      <c r="AS1098" s="140"/>
    </row>
    <row r="1099" spans="23:45">
      <c r="W1099" s="96"/>
      <c r="X1099" s="96"/>
      <c r="Y1099" s="96"/>
      <c r="Z1099" s="96"/>
      <c r="AA1099" s="96"/>
      <c r="AB1099" s="96"/>
      <c r="AC1099" s="96"/>
      <c r="AD1099" s="96"/>
      <c r="AE1099" s="96"/>
      <c r="AF1099" s="96"/>
      <c r="AG1099" s="96"/>
      <c r="AH1099" s="96"/>
      <c r="AI1099" s="96"/>
      <c r="AJ1099" s="96"/>
      <c r="AK1099" s="96"/>
      <c r="AL1099" s="96"/>
      <c r="AM1099" s="96"/>
      <c r="AN1099" s="96"/>
      <c r="AO1099" s="96"/>
      <c r="AP1099" s="96"/>
      <c r="AQ1099" s="96"/>
      <c r="AR1099" s="140"/>
      <c r="AS1099" s="140"/>
    </row>
    <row r="1100" spans="23:45">
      <c r="W1100" s="96"/>
      <c r="X1100" s="96"/>
      <c r="Y1100" s="96"/>
      <c r="Z1100" s="96"/>
      <c r="AA1100" s="96"/>
      <c r="AB1100" s="96"/>
      <c r="AC1100" s="96"/>
      <c r="AD1100" s="96"/>
      <c r="AE1100" s="96"/>
      <c r="AF1100" s="96"/>
      <c r="AG1100" s="96"/>
      <c r="AH1100" s="96"/>
      <c r="AI1100" s="96"/>
      <c r="AJ1100" s="96"/>
      <c r="AK1100" s="96"/>
      <c r="AL1100" s="96"/>
      <c r="AM1100" s="96"/>
      <c r="AN1100" s="96"/>
      <c r="AO1100" s="96"/>
      <c r="AP1100" s="96"/>
      <c r="AQ1100" s="96"/>
      <c r="AR1100" s="140"/>
      <c r="AS1100" s="140"/>
    </row>
    <row r="1101" spans="23:45">
      <c r="W1101" s="96"/>
      <c r="X1101" s="96"/>
      <c r="Y1101" s="96"/>
      <c r="Z1101" s="96"/>
      <c r="AA1101" s="96"/>
      <c r="AB1101" s="96"/>
      <c r="AC1101" s="96"/>
      <c r="AD1101" s="96"/>
      <c r="AE1101" s="96"/>
      <c r="AF1101" s="96"/>
      <c r="AG1101" s="96"/>
      <c r="AH1101" s="96"/>
      <c r="AI1101" s="96"/>
      <c r="AJ1101" s="96"/>
      <c r="AK1101" s="96"/>
      <c r="AL1101" s="96"/>
      <c r="AM1101" s="96"/>
      <c r="AN1101" s="96"/>
      <c r="AO1101" s="96"/>
      <c r="AP1101" s="96"/>
      <c r="AQ1101" s="96"/>
      <c r="AR1101" s="140"/>
      <c r="AS1101" s="140"/>
    </row>
    <row r="1102" spans="23:45">
      <c r="W1102" s="96"/>
      <c r="X1102" s="96"/>
      <c r="Y1102" s="96"/>
      <c r="Z1102" s="96"/>
      <c r="AA1102" s="96"/>
      <c r="AB1102" s="96"/>
      <c r="AC1102" s="96"/>
      <c r="AD1102" s="96"/>
      <c r="AE1102" s="96"/>
      <c r="AF1102" s="96"/>
      <c r="AG1102" s="96"/>
      <c r="AH1102" s="96"/>
      <c r="AI1102" s="96"/>
      <c r="AJ1102" s="96"/>
      <c r="AK1102" s="96"/>
      <c r="AL1102" s="96"/>
      <c r="AM1102" s="96"/>
      <c r="AN1102" s="96"/>
      <c r="AO1102" s="96"/>
      <c r="AP1102" s="96"/>
      <c r="AQ1102" s="96"/>
      <c r="AR1102" s="140"/>
      <c r="AS1102" s="140"/>
    </row>
    <row r="1103" spans="23:45">
      <c r="W1103" s="96"/>
      <c r="X1103" s="96"/>
      <c r="Y1103" s="96"/>
      <c r="Z1103" s="96"/>
      <c r="AA1103" s="96"/>
      <c r="AB1103" s="96"/>
      <c r="AC1103" s="96"/>
      <c r="AD1103" s="96"/>
      <c r="AE1103" s="96"/>
      <c r="AF1103" s="96"/>
      <c r="AG1103" s="96"/>
      <c r="AH1103" s="96"/>
      <c r="AI1103" s="96"/>
      <c r="AJ1103" s="96"/>
      <c r="AK1103" s="96"/>
      <c r="AL1103" s="96"/>
      <c r="AM1103" s="96"/>
      <c r="AN1103" s="96"/>
      <c r="AO1103" s="96"/>
      <c r="AP1103" s="96"/>
      <c r="AQ1103" s="96"/>
      <c r="AR1103" s="140"/>
      <c r="AS1103" s="140"/>
    </row>
    <row r="1104" spans="23:45">
      <c r="W1104" s="96"/>
      <c r="X1104" s="96"/>
      <c r="Y1104" s="96"/>
      <c r="Z1104" s="96"/>
      <c r="AA1104" s="96"/>
      <c r="AB1104" s="96"/>
      <c r="AC1104" s="96"/>
      <c r="AD1104" s="96"/>
      <c r="AE1104" s="96"/>
      <c r="AF1104" s="96"/>
      <c r="AG1104" s="96"/>
      <c r="AH1104" s="96"/>
      <c r="AI1104" s="96"/>
      <c r="AJ1104" s="96"/>
      <c r="AK1104" s="96"/>
      <c r="AL1104" s="96"/>
      <c r="AM1104" s="96"/>
      <c r="AN1104" s="96"/>
      <c r="AO1104" s="96"/>
      <c r="AP1104" s="96"/>
      <c r="AQ1104" s="96"/>
      <c r="AR1104" s="140"/>
      <c r="AS1104" s="140"/>
    </row>
    <row r="1105" spans="23:45">
      <c r="W1105" s="96"/>
      <c r="X1105" s="96"/>
      <c r="Y1105" s="96"/>
      <c r="Z1105" s="96"/>
      <c r="AA1105" s="96"/>
      <c r="AB1105" s="96"/>
      <c r="AC1105" s="96"/>
      <c r="AD1105" s="96"/>
      <c r="AE1105" s="96"/>
      <c r="AF1105" s="96"/>
      <c r="AG1105" s="96"/>
      <c r="AH1105" s="96"/>
      <c r="AI1105" s="96"/>
      <c r="AJ1105" s="96"/>
      <c r="AK1105" s="96"/>
      <c r="AL1105" s="96"/>
      <c r="AM1105" s="96"/>
      <c r="AN1105" s="96"/>
      <c r="AO1105" s="96"/>
      <c r="AP1105" s="96"/>
      <c r="AQ1105" s="96"/>
      <c r="AR1105" s="140"/>
      <c r="AS1105" s="140"/>
    </row>
    <row r="1106" spans="23:45">
      <c r="W1106" s="96"/>
      <c r="X1106" s="96"/>
      <c r="Y1106" s="96"/>
      <c r="Z1106" s="96"/>
      <c r="AA1106" s="96"/>
      <c r="AB1106" s="96"/>
      <c r="AC1106" s="96"/>
      <c r="AD1106" s="96"/>
      <c r="AE1106" s="96"/>
      <c r="AF1106" s="96"/>
      <c r="AG1106" s="96"/>
      <c r="AH1106" s="96"/>
      <c r="AI1106" s="96"/>
      <c r="AJ1106" s="96"/>
      <c r="AK1106" s="96"/>
      <c r="AL1106" s="96"/>
      <c r="AM1106" s="96"/>
      <c r="AN1106" s="96"/>
      <c r="AO1106" s="96"/>
      <c r="AP1106" s="96"/>
      <c r="AQ1106" s="96"/>
      <c r="AR1106" s="140"/>
      <c r="AS1106" s="140"/>
    </row>
    <row r="1107" spans="23:45">
      <c r="W1107" s="96"/>
      <c r="X1107" s="96"/>
      <c r="Y1107" s="96"/>
      <c r="Z1107" s="96"/>
      <c r="AA1107" s="96"/>
      <c r="AB1107" s="96"/>
      <c r="AC1107" s="96"/>
      <c r="AD1107" s="96"/>
      <c r="AE1107" s="96"/>
      <c r="AF1107" s="96"/>
      <c r="AG1107" s="96"/>
      <c r="AH1107" s="96"/>
      <c r="AI1107" s="96"/>
      <c r="AJ1107" s="96"/>
      <c r="AK1107" s="96"/>
      <c r="AL1107" s="96"/>
      <c r="AM1107" s="96"/>
      <c r="AN1107" s="96"/>
      <c r="AO1107" s="96"/>
      <c r="AP1107" s="96"/>
      <c r="AQ1107" s="96"/>
      <c r="AR1107" s="140"/>
      <c r="AS1107" s="140"/>
    </row>
    <row r="1108" spans="23:45">
      <c r="W1108" s="96"/>
      <c r="X1108" s="96"/>
      <c r="Y1108" s="96"/>
      <c r="Z1108" s="96"/>
      <c r="AA1108" s="96"/>
      <c r="AB1108" s="96"/>
      <c r="AC1108" s="96"/>
      <c r="AD1108" s="96"/>
      <c r="AE1108" s="96"/>
      <c r="AF1108" s="96"/>
      <c r="AG1108" s="96"/>
      <c r="AH1108" s="96"/>
      <c r="AI1108" s="96"/>
      <c r="AJ1108" s="96"/>
      <c r="AK1108" s="96"/>
      <c r="AL1108" s="96"/>
      <c r="AM1108" s="96"/>
      <c r="AN1108" s="96"/>
      <c r="AO1108" s="96"/>
      <c r="AP1108" s="96"/>
      <c r="AQ1108" s="96"/>
      <c r="AR1108" s="140"/>
      <c r="AS1108" s="140"/>
    </row>
    <row r="1109" spans="23:45">
      <c r="W1109" s="96"/>
      <c r="X1109" s="96"/>
      <c r="Y1109" s="96"/>
      <c r="Z1109" s="96"/>
      <c r="AA1109" s="96"/>
      <c r="AB1109" s="96"/>
      <c r="AC1109" s="96"/>
      <c r="AD1109" s="96"/>
      <c r="AE1109" s="96"/>
      <c r="AF1109" s="96"/>
      <c r="AG1109" s="96"/>
      <c r="AH1109" s="96"/>
      <c r="AI1109" s="96"/>
      <c r="AJ1109" s="96"/>
      <c r="AK1109" s="96"/>
      <c r="AL1109" s="96"/>
      <c r="AM1109" s="96"/>
      <c r="AN1109" s="96"/>
      <c r="AO1109" s="96"/>
      <c r="AP1109" s="96"/>
      <c r="AQ1109" s="96"/>
      <c r="AR1109" s="140"/>
      <c r="AS1109" s="140"/>
    </row>
    <row r="1110" spans="23:45">
      <c r="W1110" s="96"/>
      <c r="X1110" s="96"/>
      <c r="Y1110" s="96"/>
      <c r="Z1110" s="96"/>
      <c r="AA1110" s="96"/>
      <c r="AB1110" s="96"/>
      <c r="AC1110" s="96"/>
      <c r="AD1110" s="96"/>
      <c r="AE1110" s="96"/>
      <c r="AF1110" s="96"/>
      <c r="AG1110" s="96"/>
      <c r="AH1110" s="96"/>
      <c r="AI1110" s="96"/>
      <c r="AJ1110" s="96"/>
      <c r="AK1110" s="96"/>
      <c r="AL1110" s="96"/>
      <c r="AM1110" s="96"/>
      <c r="AN1110" s="96"/>
      <c r="AO1110" s="96"/>
      <c r="AP1110" s="96"/>
      <c r="AQ1110" s="96"/>
      <c r="AR1110" s="140"/>
      <c r="AS1110" s="140"/>
    </row>
    <row r="1111" spans="23:45">
      <c r="W1111" s="96"/>
      <c r="X1111" s="96"/>
      <c r="Y1111" s="96"/>
      <c r="Z1111" s="96"/>
      <c r="AA1111" s="96"/>
      <c r="AB1111" s="96"/>
      <c r="AC1111" s="96"/>
      <c r="AD1111" s="96"/>
      <c r="AE1111" s="96"/>
      <c r="AF1111" s="96"/>
      <c r="AG1111" s="96"/>
      <c r="AH1111" s="96"/>
      <c r="AI1111" s="96"/>
      <c r="AJ1111" s="96"/>
      <c r="AK1111" s="96"/>
      <c r="AL1111" s="96"/>
      <c r="AM1111" s="96"/>
      <c r="AN1111" s="96"/>
      <c r="AO1111" s="96"/>
      <c r="AP1111" s="96"/>
      <c r="AQ1111" s="96"/>
      <c r="AR1111" s="140"/>
      <c r="AS1111" s="140"/>
    </row>
    <row r="1112" spans="23:45">
      <c r="W1112" s="96"/>
      <c r="X1112" s="96"/>
      <c r="Y1112" s="96"/>
      <c r="Z1112" s="96"/>
      <c r="AA1112" s="96"/>
      <c r="AB1112" s="96"/>
      <c r="AC1112" s="96"/>
      <c r="AD1112" s="96"/>
      <c r="AE1112" s="96"/>
      <c r="AF1112" s="96"/>
      <c r="AG1112" s="96"/>
      <c r="AH1112" s="96"/>
      <c r="AI1112" s="96"/>
      <c r="AJ1112" s="96"/>
      <c r="AK1112" s="96"/>
      <c r="AL1112" s="96"/>
      <c r="AM1112" s="96"/>
      <c r="AN1112" s="96"/>
      <c r="AO1112" s="96"/>
      <c r="AP1112" s="96"/>
      <c r="AQ1112" s="96"/>
      <c r="AR1112" s="140"/>
      <c r="AS1112" s="140"/>
    </row>
    <row r="1113" spans="23:45">
      <c r="W1113" s="96"/>
      <c r="X1113" s="96"/>
      <c r="Y1113" s="96"/>
      <c r="Z1113" s="96"/>
      <c r="AA1113" s="96"/>
      <c r="AB1113" s="96"/>
      <c r="AC1113" s="96"/>
      <c r="AD1113" s="96"/>
      <c r="AE1113" s="96"/>
      <c r="AF1113" s="96"/>
      <c r="AG1113" s="96"/>
      <c r="AH1113" s="96"/>
      <c r="AI1113" s="96"/>
      <c r="AJ1113" s="96"/>
      <c r="AK1113" s="96"/>
      <c r="AL1113" s="96"/>
      <c r="AM1113" s="96"/>
      <c r="AN1113" s="96"/>
      <c r="AO1113" s="96"/>
      <c r="AP1113" s="96"/>
      <c r="AQ1113" s="96"/>
      <c r="AR1113" s="140"/>
      <c r="AS1113" s="140"/>
    </row>
    <row r="1114" spans="23:45">
      <c r="W1114" s="96"/>
      <c r="X1114" s="96"/>
      <c r="Y1114" s="96"/>
      <c r="Z1114" s="96"/>
      <c r="AA1114" s="96"/>
      <c r="AB1114" s="96"/>
      <c r="AC1114" s="96"/>
      <c r="AD1114" s="96"/>
      <c r="AE1114" s="96"/>
      <c r="AF1114" s="96"/>
      <c r="AG1114" s="96"/>
      <c r="AH1114" s="96"/>
      <c r="AI1114" s="96"/>
      <c r="AJ1114" s="96"/>
      <c r="AK1114" s="96"/>
      <c r="AL1114" s="96"/>
      <c r="AM1114" s="96"/>
      <c r="AN1114" s="96"/>
      <c r="AO1114" s="96"/>
      <c r="AP1114" s="96"/>
      <c r="AQ1114" s="96"/>
      <c r="AR1114" s="140"/>
      <c r="AS1114" s="140"/>
    </row>
    <row r="1115" spans="23:45">
      <c r="W1115" s="96"/>
      <c r="X1115" s="96"/>
      <c r="Y1115" s="96"/>
      <c r="Z1115" s="96"/>
      <c r="AA1115" s="96"/>
      <c r="AB1115" s="96"/>
      <c r="AC1115" s="96"/>
      <c r="AD1115" s="96"/>
      <c r="AE1115" s="96"/>
      <c r="AF1115" s="96"/>
      <c r="AG1115" s="96"/>
      <c r="AH1115" s="96"/>
      <c r="AI1115" s="96"/>
      <c r="AJ1115" s="96"/>
      <c r="AK1115" s="96"/>
      <c r="AL1115" s="96"/>
      <c r="AM1115" s="96"/>
      <c r="AN1115" s="96"/>
      <c r="AO1115" s="96"/>
      <c r="AP1115" s="96"/>
      <c r="AQ1115" s="96"/>
      <c r="AR1115" s="140"/>
      <c r="AS1115" s="140"/>
    </row>
    <row r="1116" spans="23:45">
      <c r="W1116" s="96"/>
      <c r="X1116" s="96"/>
      <c r="Y1116" s="96"/>
      <c r="Z1116" s="96"/>
      <c r="AA1116" s="96"/>
      <c r="AB1116" s="96"/>
      <c r="AC1116" s="96"/>
      <c r="AD1116" s="96"/>
      <c r="AE1116" s="96"/>
      <c r="AF1116" s="96"/>
      <c r="AG1116" s="96"/>
      <c r="AH1116" s="96"/>
      <c r="AI1116" s="96"/>
      <c r="AJ1116" s="96"/>
      <c r="AK1116" s="96"/>
      <c r="AL1116" s="96"/>
      <c r="AM1116" s="96"/>
      <c r="AN1116" s="96"/>
      <c r="AO1116" s="96"/>
      <c r="AP1116" s="96"/>
      <c r="AQ1116" s="96"/>
      <c r="AR1116" s="140"/>
      <c r="AS1116" s="140"/>
    </row>
    <row r="1117" spans="23:45">
      <c r="W1117" s="96"/>
      <c r="X1117" s="96"/>
      <c r="Y1117" s="96"/>
      <c r="Z1117" s="96"/>
      <c r="AA1117" s="96"/>
      <c r="AB1117" s="96"/>
      <c r="AC1117" s="96"/>
      <c r="AD1117" s="96"/>
      <c r="AE1117" s="96"/>
      <c r="AF1117" s="96"/>
      <c r="AG1117" s="96"/>
      <c r="AH1117" s="96"/>
      <c r="AI1117" s="96"/>
      <c r="AJ1117" s="96"/>
      <c r="AK1117" s="96"/>
      <c r="AL1117" s="96"/>
      <c r="AM1117" s="96"/>
      <c r="AN1117" s="96"/>
      <c r="AO1117" s="96"/>
      <c r="AP1117" s="96"/>
      <c r="AQ1117" s="96"/>
      <c r="AR1117" s="140"/>
      <c r="AS1117" s="140"/>
    </row>
    <row r="1118" spans="23:45">
      <c r="W1118" s="96"/>
      <c r="X1118" s="96"/>
      <c r="Y1118" s="96"/>
      <c r="Z1118" s="96"/>
      <c r="AA1118" s="96"/>
      <c r="AB1118" s="96"/>
      <c r="AC1118" s="96"/>
      <c r="AD1118" s="96"/>
      <c r="AE1118" s="96"/>
      <c r="AF1118" s="96"/>
      <c r="AG1118" s="96"/>
      <c r="AH1118" s="96"/>
      <c r="AI1118" s="96"/>
      <c r="AJ1118" s="96"/>
      <c r="AK1118" s="96"/>
      <c r="AL1118" s="96"/>
      <c r="AM1118" s="96"/>
      <c r="AN1118" s="96"/>
      <c r="AO1118" s="96"/>
      <c r="AP1118" s="96"/>
      <c r="AQ1118" s="96"/>
      <c r="AR1118" s="140"/>
      <c r="AS1118" s="140"/>
    </row>
    <row r="1119" spans="23:45">
      <c r="W1119" s="96"/>
      <c r="X1119" s="96"/>
      <c r="Y1119" s="96"/>
      <c r="Z1119" s="96"/>
      <c r="AA1119" s="96"/>
      <c r="AB1119" s="96"/>
      <c r="AC1119" s="96"/>
      <c r="AD1119" s="96"/>
      <c r="AE1119" s="96"/>
      <c r="AF1119" s="96"/>
      <c r="AG1119" s="96"/>
      <c r="AH1119" s="96"/>
      <c r="AI1119" s="96"/>
      <c r="AJ1119" s="96"/>
      <c r="AK1119" s="96"/>
      <c r="AL1119" s="96"/>
      <c r="AM1119" s="96"/>
      <c r="AN1119" s="96"/>
      <c r="AO1119" s="96"/>
      <c r="AP1119" s="96"/>
      <c r="AQ1119" s="96"/>
      <c r="AR1119" s="140"/>
      <c r="AS1119" s="140"/>
    </row>
    <row r="1120" spans="23:45">
      <c r="W1120" s="96"/>
      <c r="X1120" s="96"/>
      <c r="Y1120" s="96"/>
      <c r="Z1120" s="96"/>
      <c r="AA1120" s="96"/>
      <c r="AB1120" s="96"/>
      <c r="AC1120" s="96"/>
      <c r="AD1120" s="96"/>
      <c r="AE1120" s="96"/>
      <c r="AF1120" s="96"/>
      <c r="AG1120" s="96"/>
      <c r="AH1120" s="96"/>
      <c r="AI1120" s="96"/>
      <c r="AJ1120" s="96"/>
      <c r="AK1120" s="96"/>
      <c r="AL1120" s="96"/>
      <c r="AM1120" s="96"/>
      <c r="AN1120" s="96"/>
      <c r="AO1120" s="96"/>
      <c r="AP1120" s="96"/>
      <c r="AQ1120" s="96"/>
      <c r="AR1120" s="140"/>
      <c r="AS1120" s="140"/>
    </row>
    <row r="1121" spans="23:45">
      <c r="W1121" s="96"/>
      <c r="X1121" s="96"/>
      <c r="Y1121" s="96"/>
      <c r="Z1121" s="96"/>
      <c r="AA1121" s="96"/>
      <c r="AB1121" s="96"/>
      <c r="AC1121" s="96"/>
      <c r="AD1121" s="96"/>
      <c r="AE1121" s="96"/>
      <c r="AF1121" s="96"/>
      <c r="AG1121" s="96"/>
      <c r="AH1121" s="96"/>
      <c r="AI1121" s="96"/>
      <c r="AJ1121" s="96"/>
      <c r="AK1121" s="96"/>
      <c r="AL1121" s="96"/>
      <c r="AM1121" s="96"/>
      <c r="AN1121" s="96"/>
      <c r="AO1121" s="96"/>
      <c r="AP1121" s="96"/>
      <c r="AQ1121" s="96"/>
      <c r="AR1121" s="140"/>
      <c r="AS1121" s="140"/>
    </row>
    <row r="1122" spans="23:45">
      <c r="W1122" s="96"/>
      <c r="X1122" s="96"/>
      <c r="Y1122" s="96"/>
      <c r="Z1122" s="96"/>
      <c r="AA1122" s="96"/>
      <c r="AB1122" s="96"/>
      <c r="AC1122" s="96"/>
      <c r="AD1122" s="96"/>
      <c r="AE1122" s="96"/>
      <c r="AF1122" s="96"/>
      <c r="AG1122" s="96"/>
      <c r="AH1122" s="96"/>
      <c r="AI1122" s="96"/>
      <c r="AJ1122" s="96"/>
      <c r="AK1122" s="96"/>
      <c r="AL1122" s="96"/>
      <c r="AM1122" s="96"/>
      <c r="AN1122" s="96"/>
      <c r="AO1122" s="96"/>
      <c r="AP1122" s="96"/>
      <c r="AQ1122" s="96"/>
      <c r="AR1122" s="140"/>
      <c r="AS1122" s="140"/>
    </row>
    <row r="1123" spans="23:45">
      <c r="W1123" s="96"/>
      <c r="X1123" s="96"/>
      <c r="Y1123" s="96"/>
      <c r="Z1123" s="96"/>
      <c r="AA1123" s="96"/>
      <c r="AB1123" s="96"/>
      <c r="AC1123" s="96"/>
      <c r="AD1123" s="96"/>
      <c r="AE1123" s="96"/>
      <c r="AF1123" s="96"/>
      <c r="AG1123" s="96"/>
      <c r="AH1123" s="96"/>
      <c r="AI1123" s="96"/>
      <c r="AJ1123" s="96"/>
      <c r="AK1123" s="96"/>
      <c r="AL1123" s="96"/>
      <c r="AM1123" s="96"/>
      <c r="AN1123" s="96"/>
      <c r="AO1123" s="96"/>
      <c r="AP1123" s="96"/>
      <c r="AQ1123" s="96"/>
      <c r="AR1123" s="140"/>
      <c r="AS1123" s="140"/>
    </row>
    <row r="1124" spans="23:45">
      <c r="W1124" s="96"/>
      <c r="X1124" s="96"/>
      <c r="Y1124" s="96"/>
      <c r="Z1124" s="96"/>
      <c r="AA1124" s="96"/>
      <c r="AB1124" s="96"/>
      <c r="AC1124" s="96"/>
      <c r="AD1124" s="96"/>
      <c r="AE1124" s="96"/>
      <c r="AF1124" s="96"/>
      <c r="AG1124" s="96"/>
      <c r="AH1124" s="96"/>
      <c r="AI1124" s="96"/>
      <c r="AJ1124" s="96"/>
      <c r="AK1124" s="96"/>
      <c r="AL1124" s="96"/>
      <c r="AM1124" s="96"/>
      <c r="AN1124" s="96"/>
      <c r="AO1124" s="96"/>
      <c r="AP1124" s="96"/>
      <c r="AQ1124" s="96"/>
      <c r="AR1124" s="140"/>
      <c r="AS1124" s="140"/>
    </row>
    <row r="1125" spans="23:45">
      <c r="W1125" s="96"/>
      <c r="X1125" s="96"/>
      <c r="Y1125" s="96"/>
      <c r="Z1125" s="96"/>
      <c r="AA1125" s="96"/>
      <c r="AB1125" s="96"/>
      <c r="AC1125" s="96"/>
      <c r="AD1125" s="96"/>
      <c r="AE1125" s="96"/>
      <c r="AF1125" s="96"/>
      <c r="AG1125" s="96"/>
      <c r="AH1125" s="96"/>
      <c r="AI1125" s="96"/>
      <c r="AJ1125" s="96"/>
      <c r="AK1125" s="96"/>
      <c r="AL1125" s="96"/>
      <c r="AM1125" s="96"/>
      <c r="AN1125" s="96"/>
      <c r="AO1125" s="96"/>
      <c r="AP1125" s="96"/>
      <c r="AQ1125" s="96"/>
      <c r="AR1125" s="140"/>
      <c r="AS1125" s="140"/>
    </row>
    <row r="1126" spans="23:45">
      <c r="W1126" s="96"/>
      <c r="X1126" s="96"/>
      <c r="Y1126" s="96"/>
      <c r="Z1126" s="96"/>
      <c r="AA1126" s="96"/>
      <c r="AB1126" s="96"/>
      <c r="AC1126" s="96"/>
      <c r="AD1126" s="96"/>
      <c r="AE1126" s="96"/>
      <c r="AF1126" s="96"/>
      <c r="AG1126" s="96"/>
      <c r="AH1126" s="96"/>
      <c r="AI1126" s="96"/>
      <c r="AJ1126" s="96"/>
      <c r="AK1126" s="96"/>
      <c r="AL1126" s="96"/>
      <c r="AM1126" s="96"/>
      <c r="AN1126" s="96"/>
      <c r="AO1126" s="96"/>
      <c r="AP1126" s="96"/>
      <c r="AQ1126" s="96"/>
      <c r="AR1126" s="140"/>
      <c r="AS1126" s="140"/>
    </row>
  </sheetData>
  <mergeCells count="6">
    <mergeCell ref="C21:M21"/>
    <mergeCell ref="D40:F40"/>
    <mergeCell ref="P16:S16"/>
    <mergeCell ref="P18:S18"/>
    <mergeCell ref="F16:H16"/>
    <mergeCell ref="F18:H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246"/>
  <sheetViews>
    <sheetView workbookViewId="0">
      <selection activeCell="K38" sqref="K38"/>
    </sheetView>
  </sheetViews>
  <sheetFormatPr baseColWidth="10" defaultRowHeight="12.75"/>
  <cols>
    <col min="5" max="5" width="12.42578125" customWidth="1"/>
    <col min="10" max="10" width="14.42578125" customWidth="1"/>
    <col min="11" max="11" width="14.28515625" customWidth="1"/>
  </cols>
  <sheetData>
    <row r="1" spans="1:24">
      <c r="A1" s="231"/>
      <c r="B1" s="231"/>
      <c r="C1" s="231"/>
      <c r="D1" s="231"/>
      <c r="E1" s="231"/>
      <c r="F1" s="231"/>
      <c r="G1" s="231"/>
      <c r="H1" s="231"/>
      <c r="I1" s="231"/>
      <c r="J1" s="231"/>
      <c r="K1" s="231"/>
      <c r="L1" s="231"/>
      <c r="M1" s="231"/>
      <c r="N1" s="231"/>
      <c r="O1" s="231"/>
      <c r="P1" s="231"/>
      <c r="Q1" s="231"/>
      <c r="R1" s="231"/>
      <c r="S1" s="231"/>
      <c r="T1" s="231"/>
      <c r="U1" s="231"/>
      <c r="V1" s="231"/>
      <c r="W1" s="231"/>
      <c r="X1" s="231"/>
    </row>
    <row r="2" spans="1:24">
      <c r="A2" s="231"/>
      <c r="B2" s="231"/>
      <c r="C2" s="231"/>
      <c r="D2" s="231"/>
      <c r="E2" s="231"/>
      <c r="F2" s="231"/>
      <c r="G2" s="231"/>
      <c r="H2" s="231"/>
      <c r="I2" s="231"/>
      <c r="J2" s="231"/>
      <c r="K2" s="231"/>
      <c r="L2" s="231"/>
      <c r="M2" s="231"/>
      <c r="N2" s="231"/>
      <c r="O2" s="231"/>
      <c r="P2" s="231"/>
      <c r="Q2" s="231"/>
      <c r="R2" s="231"/>
      <c r="S2" s="231"/>
      <c r="T2" s="231"/>
      <c r="U2" s="231"/>
      <c r="V2" s="231"/>
      <c r="W2" s="231"/>
      <c r="X2" s="231"/>
    </row>
    <row r="3" spans="1:24">
      <c r="A3" s="231"/>
      <c r="B3" s="231"/>
      <c r="C3" s="231"/>
      <c r="D3" s="231"/>
      <c r="E3" s="231"/>
      <c r="F3" s="231"/>
      <c r="G3" s="231"/>
      <c r="H3" s="231"/>
      <c r="I3" s="231"/>
      <c r="J3" s="231"/>
      <c r="K3" s="231"/>
      <c r="L3" s="231"/>
      <c r="M3" s="231"/>
      <c r="N3" s="231"/>
      <c r="O3" s="231"/>
      <c r="P3" s="231"/>
      <c r="Q3" s="231"/>
      <c r="R3" s="231"/>
      <c r="S3" s="231"/>
      <c r="T3" s="231"/>
      <c r="U3" s="231"/>
      <c r="V3" s="231"/>
      <c r="W3" s="231"/>
      <c r="X3" s="231"/>
    </row>
    <row r="4" spans="1:24">
      <c r="A4" s="231"/>
      <c r="B4" s="231"/>
      <c r="C4" s="231"/>
      <c r="D4" s="231"/>
      <c r="E4" s="231"/>
      <c r="F4" s="231"/>
      <c r="G4" s="231"/>
      <c r="H4" s="231"/>
      <c r="I4" s="231"/>
      <c r="J4" s="231"/>
      <c r="K4" s="231"/>
      <c r="L4" s="231"/>
      <c r="M4" s="231"/>
      <c r="N4" s="231"/>
      <c r="O4" s="231"/>
      <c r="P4" s="231"/>
      <c r="Q4" s="231"/>
      <c r="R4" s="231"/>
      <c r="S4" s="231"/>
      <c r="T4" s="231"/>
      <c r="U4" s="231"/>
      <c r="V4" s="231"/>
      <c r="W4" s="231"/>
      <c r="X4" s="231"/>
    </row>
    <row r="5" spans="1:24">
      <c r="A5" s="231"/>
      <c r="B5" s="231"/>
      <c r="C5" s="231"/>
      <c r="D5" s="231"/>
      <c r="E5" s="231"/>
      <c r="F5" s="231"/>
      <c r="G5" s="231"/>
      <c r="H5" s="231"/>
      <c r="I5" s="231"/>
      <c r="J5" s="231"/>
      <c r="K5" s="231"/>
      <c r="L5" s="231"/>
      <c r="M5" s="231"/>
      <c r="N5" s="231"/>
      <c r="O5" s="231"/>
      <c r="P5" s="231"/>
      <c r="Q5" s="231"/>
      <c r="R5" s="231"/>
      <c r="S5" s="231"/>
      <c r="T5" s="231"/>
      <c r="U5" s="231"/>
      <c r="V5" s="231"/>
      <c r="W5" s="231"/>
      <c r="X5" s="231"/>
    </row>
    <row r="6" spans="1:24">
      <c r="A6" s="231"/>
      <c r="B6" s="231"/>
      <c r="C6" s="231"/>
      <c r="D6" s="231"/>
      <c r="E6" s="231"/>
      <c r="F6" s="231"/>
      <c r="G6" s="231"/>
      <c r="H6" s="231"/>
      <c r="I6" s="231"/>
      <c r="J6" s="231"/>
      <c r="K6" s="231"/>
      <c r="L6" s="231"/>
      <c r="M6" s="231"/>
      <c r="N6" s="231"/>
      <c r="O6" s="231"/>
      <c r="P6" s="231"/>
      <c r="Q6" s="231"/>
      <c r="R6" s="231"/>
      <c r="S6" s="231"/>
      <c r="T6" s="231"/>
      <c r="U6" s="231"/>
      <c r="V6" s="231"/>
      <c r="W6" s="231"/>
      <c r="X6" s="231"/>
    </row>
    <row r="7" spans="1:24">
      <c r="A7" s="231"/>
      <c r="B7" s="231"/>
      <c r="C7" s="231"/>
      <c r="D7" s="231"/>
      <c r="E7" s="231"/>
      <c r="F7" s="231"/>
      <c r="G7" s="231"/>
      <c r="H7" s="231"/>
      <c r="I7" s="231"/>
      <c r="J7" s="231"/>
      <c r="K7" s="231"/>
      <c r="L7" s="231"/>
      <c r="M7" s="231"/>
      <c r="N7" s="231"/>
      <c r="O7" s="231"/>
      <c r="P7" s="231"/>
      <c r="Q7" s="231"/>
      <c r="R7" s="231"/>
      <c r="S7" s="231"/>
      <c r="T7" s="231"/>
      <c r="U7" s="231"/>
      <c r="V7" s="231"/>
      <c r="W7" s="231"/>
      <c r="X7" s="231"/>
    </row>
    <row r="8" spans="1:24">
      <c r="A8" s="231"/>
      <c r="B8" s="231"/>
      <c r="C8" s="231"/>
      <c r="D8" s="231"/>
      <c r="E8" s="231"/>
      <c r="F8" s="231"/>
      <c r="G8" s="231"/>
      <c r="H8" s="231"/>
      <c r="I8" s="231"/>
      <c r="J8" s="231"/>
      <c r="K8" s="231"/>
      <c r="L8" s="231"/>
      <c r="M8" s="231"/>
      <c r="N8" s="231"/>
      <c r="O8" s="231"/>
      <c r="P8" s="231"/>
      <c r="Q8" s="231"/>
      <c r="R8" s="231"/>
      <c r="S8" s="231"/>
      <c r="T8" s="231"/>
      <c r="U8" s="231"/>
      <c r="V8" s="231"/>
      <c r="W8" s="231"/>
      <c r="X8" s="231"/>
    </row>
    <row r="9" spans="1:24">
      <c r="A9" s="231"/>
      <c r="B9" s="231"/>
      <c r="C9" s="231"/>
      <c r="D9" s="231"/>
      <c r="E9" s="231"/>
      <c r="F9" s="231"/>
      <c r="G9" s="231"/>
      <c r="H9" s="231"/>
      <c r="I9" s="231"/>
      <c r="J9" s="231"/>
      <c r="K9" s="231"/>
      <c r="L9" s="231"/>
      <c r="M9" s="231"/>
      <c r="N9" s="231"/>
      <c r="O9" s="231"/>
      <c r="P9" s="231"/>
      <c r="Q9" s="231"/>
      <c r="R9" s="231"/>
      <c r="S9" s="231"/>
      <c r="T9" s="231"/>
      <c r="U9" s="231"/>
      <c r="V9" s="231"/>
      <c r="W9" s="231"/>
      <c r="X9" s="231"/>
    </row>
    <row r="10" spans="1:24">
      <c r="A10" s="231"/>
      <c r="B10" s="231"/>
      <c r="C10" s="231"/>
      <c r="D10" s="231"/>
      <c r="E10" s="231"/>
      <c r="F10" s="231"/>
      <c r="G10" s="231"/>
      <c r="H10" s="231"/>
      <c r="I10" s="231"/>
      <c r="J10" s="231"/>
      <c r="K10" s="231"/>
      <c r="L10" s="231"/>
      <c r="M10" s="231"/>
      <c r="N10" s="231"/>
      <c r="O10" s="231"/>
      <c r="P10" s="231"/>
      <c r="Q10" s="231"/>
      <c r="R10" s="231"/>
      <c r="S10" s="231"/>
      <c r="T10" s="231"/>
      <c r="U10" s="231"/>
      <c r="V10" s="231"/>
      <c r="W10" s="231"/>
      <c r="X10" s="231"/>
    </row>
    <row r="11" spans="1:24">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row>
    <row r="12" spans="1:24">
      <c r="A12" s="231"/>
      <c r="B12" s="231"/>
      <c r="C12" s="231"/>
      <c r="D12" s="231"/>
      <c r="E12" s="231"/>
      <c r="F12" s="231"/>
      <c r="G12" s="231"/>
      <c r="H12" s="231"/>
      <c r="I12" s="231"/>
      <c r="J12" s="231"/>
      <c r="K12" s="231"/>
      <c r="L12" s="231"/>
      <c r="M12" s="231"/>
      <c r="N12" s="231"/>
      <c r="O12" s="231"/>
      <c r="P12" s="231"/>
      <c r="Q12" s="231"/>
      <c r="R12" s="231"/>
      <c r="S12" s="231"/>
      <c r="T12" s="231"/>
      <c r="U12" s="231"/>
      <c r="V12" s="231"/>
      <c r="W12" s="231"/>
      <c r="X12" s="231"/>
    </row>
    <row r="13" spans="1:24">
      <c r="A13" s="184"/>
      <c r="B13" s="232"/>
      <c r="C13" s="233"/>
      <c r="D13" s="233"/>
      <c r="E13" s="233"/>
      <c r="F13" s="233"/>
      <c r="G13" s="233"/>
      <c r="H13" s="233"/>
      <c r="I13" s="233"/>
      <c r="J13" s="233"/>
      <c r="K13" s="233"/>
      <c r="L13" s="233"/>
      <c r="M13" s="233"/>
      <c r="N13" s="234"/>
      <c r="O13" s="261"/>
      <c r="P13" s="231"/>
      <c r="Q13" s="231"/>
      <c r="R13" s="231"/>
      <c r="S13" s="231"/>
      <c r="T13" s="231"/>
      <c r="U13" s="231"/>
      <c r="V13" s="231"/>
      <c r="W13" s="231"/>
      <c r="X13" s="231"/>
    </row>
    <row r="14" spans="1:24" ht="15">
      <c r="A14" s="184"/>
      <c r="B14" s="235"/>
      <c r="C14" s="184"/>
      <c r="D14" s="182"/>
      <c r="E14" s="182" t="s">
        <v>202</v>
      </c>
      <c r="F14" s="465" t="str">
        <f>Consumos!D15</f>
        <v>HOUSING</v>
      </c>
      <c r="G14" s="465"/>
      <c r="H14" s="465"/>
      <c r="I14" s="182"/>
      <c r="J14" s="182" t="s">
        <v>204</v>
      </c>
      <c r="K14" s="575" t="str">
        <f>Consumos!H15</f>
        <v>POLAND</v>
      </c>
      <c r="L14" s="575"/>
      <c r="M14" s="575"/>
      <c r="N14" s="237"/>
      <c r="O14" s="236"/>
      <c r="P14" s="231"/>
      <c r="Q14" s="231"/>
      <c r="R14" s="231"/>
      <c r="S14" s="231"/>
      <c r="T14" s="231"/>
      <c r="U14" s="231"/>
      <c r="V14" s="231"/>
      <c r="W14" s="231"/>
      <c r="X14" s="231"/>
    </row>
    <row r="15" spans="1:24">
      <c r="A15" s="184"/>
      <c r="B15" s="235"/>
      <c r="C15" s="184"/>
      <c r="D15" s="184"/>
      <c r="E15" s="184"/>
      <c r="F15" s="184"/>
      <c r="G15" s="184"/>
      <c r="H15" s="184"/>
      <c r="I15" s="184"/>
      <c r="J15" s="184"/>
      <c r="K15" s="184"/>
      <c r="L15" s="184"/>
      <c r="M15" s="184"/>
      <c r="N15" s="185"/>
      <c r="O15" s="184"/>
      <c r="P15" s="231"/>
      <c r="Q15" s="231"/>
      <c r="R15" s="231"/>
      <c r="S15" s="231"/>
      <c r="T15" s="231"/>
      <c r="U15" s="231"/>
      <c r="V15" s="231"/>
      <c r="W15" s="231"/>
      <c r="X15" s="231"/>
    </row>
    <row r="16" spans="1:24" ht="15">
      <c r="A16" s="184"/>
      <c r="B16" s="235"/>
      <c r="C16" s="184"/>
      <c r="D16" s="238"/>
      <c r="E16" s="182" t="s">
        <v>203</v>
      </c>
      <c r="F16" s="466" t="str">
        <f>Consumos!D17</f>
        <v>VIPSKILLS</v>
      </c>
      <c r="G16" s="466"/>
      <c r="H16" s="466"/>
      <c r="I16" s="182"/>
      <c r="J16" s="182" t="s">
        <v>205</v>
      </c>
      <c r="K16" s="570">
        <f>Consumos!H17</f>
        <v>43285</v>
      </c>
      <c r="L16" s="570"/>
      <c r="M16" s="570"/>
      <c r="N16" s="112"/>
      <c r="O16" s="54"/>
      <c r="P16" s="231"/>
      <c r="Q16" s="231"/>
      <c r="R16" s="231"/>
      <c r="S16" s="231"/>
      <c r="T16" s="231"/>
      <c r="U16" s="231"/>
      <c r="V16" s="231"/>
      <c r="W16" s="231"/>
      <c r="X16" s="231"/>
    </row>
    <row r="17" spans="1:24" ht="15">
      <c r="A17" s="184"/>
      <c r="B17" s="235"/>
      <c r="C17" s="184"/>
      <c r="D17" s="238"/>
      <c r="E17" s="182"/>
      <c r="F17" s="182"/>
      <c r="G17" s="182"/>
      <c r="H17" s="182"/>
      <c r="I17" s="182"/>
      <c r="J17" s="182"/>
      <c r="K17" s="182"/>
      <c r="L17" s="182"/>
      <c r="M17" s="182"/>
      <c r="N17" s="112"/>
      <c r="O17" s="54"/>
      <c r="P17" s="231"/>
      <c r="Q17" s="231"/>
      <c r="R17" s="231"/>
      <c r="S17" s="231"/>
      <c r="T17" s="231"/>
      <c r="U17" s="231"/>
      <c r="V17" s="231"/>
      <c r="W17" s="231"/>
      <c r="X17" s="231"/>
    </row>
    <row r="18" spans="1:24" ht="20.25">
      <c r="A18" s="184"/>
      <c r="B18" s="235"/>
      <c r="C18" s="562" t="s">
        <v>256</v>
      </c>
      <c r="D18" s="562"/>
      <c r="E18" s="562"/>
      <c r="F18" s="562"/>
      <c r="G18" s="562"/>
      <c r="H18" s="562"/>
      <c r="I18" s="562"/>
      <c r="J18" s="562"/>
      <c r="K18" s="562"/>
      <c r="L18" s="562"/>
      <c r="M18" s="562"/>
      <c r="N18" s="185"/>
      <c r="O18" s="231"/>
      <c r="P18" s="231"/>
      <c r="Q18" s="231"/>
      <c r="R18" s="231"/>
      <c r="S18" s="231"/>
      <c r="T18" s="231"/>
      <c r="U18" s="231"/>
      <c r="V18" s="231"/>
      <c r="W18" s="231"/>
      <c r="X18" s="231"/>
    </row>
    <row r="19" spans="1:24">
      <c r="A19" s="184"/>
      <c r="B19" s="235"/>
      <c r="C19" s="184"/>
      <c r="D19" s="184"/>
      <c r="E19" s="184"/>
      <c r="F19" s="184"/>
      <c r="G19" s="184"/>
      <c r="H19" s="184"/>
      <c r="I19" s="184"/>
      <c r="J19" s="184"/>
      <c r="K19" s="184"/>
      <c r="L19" s="184"/>
      <c r="M19" s="184"/>
      <c r="N19" s="185"/>
      <c r="O19" s="231"/>
      <c r="P19" s="231"/>
      <c r="Q19" s="231"/>
      <c r="R19" s="231"/>
      <c r="S19" s="231"/>
      <c r="T19" s="231"/>
      <c r="U19" s="231"/>
      <c r="V19" s="231"/>
      <c r="W19" s="231"/>
      <c r="X19" s="231"/>
    </row>
    <row r="20" spans="1:24" ht="37.5" customHeight="1">
      <c r="A20" s="184"/>
      <c r="B20" s="235"/>
      <c r="C20" s="184"/>
      <c r="D20" s="184"/>
      <c r="E20" s="585" t="s">
        <v>257</v>
      </c>
      <c r="F20" s="585"/>
      <c r="G20" s="585"/>
      <c r="H20" s="263"/>
      <c r="I20" s="584" t="s">
        <v>175</v>
      </c>
      <c r="J20" s="584"/>
      <c r="K20" s="584"/>
      <c r="L20" s="184"/>
      <c r="M20" s="184"/>
      <c r="N20" s="185"/>
      <c r="O20" s="231"/>
      <c r="P20" s="231"/>
      <c r="Q20" s="231"/>
      <c r="R20" s="231"/>
      <c r="S20" s="231"/>
      <c r="T20" s="231"/>
      <c r="U20" s="231"/>
      <c r="V20" s="231"/>
      <c r="W20" s="231"/>
      <c r="X20" s="231"/>
    </row>
    <row r="21" spans="1:24" ht="18.75">
      <c r="A21" s="184"/>
      <c r="B21" s="235"/>
      <c r="C21" s="184"/>
      <c r="D21" s="184"/>
      <c r="E21" s="264" t="s">
        <v>258</v>
      </c>
      <c r="F21" s="576"/>
      <c r="G21" s="577"/>
      <c r="H21" s="265"/>
      <c r="I21" s="582" t="str">
        <f>IF(I38&gt;1.13*F31,"INCREASE OF BATTERIES CAPACITY IS RECOMENDED","")</f>
        <v/>
      </c>
      <c r="J21" s="582"/>
      <c r="K21" s="582"/>
      <c r="L21" s="266"/>
      <c r="M21" s="184"/>
      <c r="N21" s="185"/>
      <c r="O21" s="231"/>
      <c r="P21" s="231">
        <v>7</v>
      </c>
      <c r="Q21" s="231">
        <v>10</v>
      </c>
      <c r="R21" s="231"/>
      <c r="S21" s="231"/>
      <c r="T21" s="231"/>
      <c r="U21" s="231"/>
      <c r="V21" s="231"/>
      <c r="W21" s="231"/>
      <c r="X21" s="231"/>
    </row>
    <row r="22" spans="1:24" ht="15">
      <c r="A22" s="184"/>
      <c r="B22" s="235"/>
      <c r="C22" s="184"/>
      <c r="D22" s="184"/>
      <c r="E22" s="267" t="s">
        <v>259</v>
      </c>
      <c r="F22" s="576"/>
      <c r="G22" s="577"/>
      <c r="H22" s="268"/>
      <c r="I22" s="582" t="str">
        <f>IF((H38&gt;0.2),"INCREASE OF BATTERIES CAPACITY IS RECOMENDED","")</f>
        <v/>
      </c>
      <c r="J22" s="582"/>
      <c r="K22" s="582"/>
      <c r="L22" s="268"/>
      <c r="M22" s="184"/>
      <c r="N22" s="185"/>
      <c r="O22" s="231"/>
      <c r="P22" s="231"/>
      <c r="Q22" s="231"/>
      <c r="R22" s="231"/>
      <c r="S22" s="231"/>
      <c r="T22" s="231"/>
      <c r="U22" s="231"/>
      <c r="V22" s="231"/>
      <c r="W22" s="231"/>
      <c r="X22" s="231"/>
    </row>
    <row r="23" spans="1:24" ht="15">
      <c r="A23" s="184"/>
      <c r="B23" s="235"/>
      <c r="C23" s="184"/>
      <c r="D23" s="184"/>
      <c r="E23" s="267" t="s">
        <v>260</v>
      </c>
      <c r="F23" s="578"/>
      <c r="G23" s="579"/>
      <c r="H23" s="268"/>
      <c r="I23" s="583" t="str">
        <f>IF(I38&gt;1,"IMPROPER NUMBER OF BATTERIES","")</f>
        <v/>
      </c>
      <c r="J23" s="583"/>
      <c r="K23" s="583"/>
      <c r="L23" s="268"/>
      <c r="M23" s="184"/>
      <c r="N23" s="185"/>
      <c r="O23" s="231"/>
      <c r="P23" s="231"/>
      <c r="Q23" s="231"/>
      <c r="R23" s="231"/>
      <c r="S23" s="231"/>
      <c r="T23" s="231"/>
      <c r="U23" s="231"/>
      <c r="V23" s="231"/>
      <c r="W23" s="231"/>
      <c r="X23" s="231"/>
    </row>
    <row r="24" spans="1:24" ht="30">
      <c r="A24" s="184"/>
      <c r="B24" s="235"/>
      <c r="C24" s="184"/>
      <c r="D24" s="184"/>
      <c r="E24" s="269" t="s">
        <v>261</v>
      </c>
      <c r="F24" s="580">
        <v>24</v>
      </c>
      <c r="G24" s="581"/>
      <c r="H24" s="270"/>
      <c r="I24" s="184"/>
      <c r="J24" s="184"/>
      <c r="K24" s="184"/>
      <c r="L24" s="268"/>
      <c r="M24" s="184"/>
      <c r="N24" s="185"/>
      <c r="O24" s="231"/>
      <c r="P24" s="231"/>
      <c r="Q24" s="231"/>
      <c r="R24" s="231"/>
      <c r="S24" s="231"/>
      <c r="T24" s="231"/>
      <c r="U24" s="231"/>
      <c r="V24" s="231"/>
      <c r="W24" s="231"/>
      <c r="X24" s="231"/>
    </row>
    <row r="25" spans="1:24" ht="45">
      <c r="A25" s="184"/>
      <c r="B25" s="235"/>
      <c r="C25" s="184"/>
      <c r="D25" s="184"/>
      <c r="E25" s="269" t="s">
        <v>262</v>
      </c>
      <c r="F25" s="573"/>
      <c r="G25" s="574"/>
      <c r="H25" s="270"/>
      <c r="I25" s="184"/>
      <c r="J25" s="184"/>
      <c r="K25" s="184"/>
      <c r="L25" s="268"/>
      <c r="M25" s="184"/>
      <c r="N25" s="185"/>
      <c r="O25" s="231"/>
      <c r="P25" s="231"/>
      <c r="Q25" s="231"/>
      <c r="R25" s="231"/>
      <c r="S25" s="231"/>
      <c r="T25" s="231"/>
      <c r="U25" s="231"/>
      <c r="V25" s="231"/>
      <c r="W25" s="231"/>
      <c r="X25" s="231"/>
    </row>
    <row r="26" spans="1:24" ht="45">
      <c r="A26" s="184"/>
      <c r="B26" s="235"/>
      <c r="C26" s="184"/>
      <c r="D26" s="184"/>
      <c r="E26" s="269" t="s">
        <v>263</v>
      </c>
      <c r="F26" s="573"/>
      <c r="G26" s="574"/>
      <c r="H26" s="270"/>
      <c r="I26" s="271"/>
      <c r="J26" s="268"/>
      <c r="K26" s="268"/>
      <c r="L26" s="268"/>
      <c r="M26" s="184"/>
      <c r="N26" s="185"/>
      <c r="O26" s="231"/>
      <c r="P26" s="231"/>
      <c r="Q26" s="231"/>
      <c r="R26" s="231"/>
      <c r="S26" s="231"/>
      <c r="T26" s="231"/>
      <c r="U26" s="231"/>
      <c r="V26" s="231"/>
      <c r="W26" s="231"/>
      <c r="X26" s="231"/>
    </row>
    <row r="27" spans="1:24" ht="15">
      <c r="A27" s="184"/>
      <c r="B27" s="235"/>
      <c r="C27" s="184"/>
      <c r="D27" s="184"/>
      <c r="E27" s="269" t="s">
        <v>158</v>
      </c>
      <c r="F27" s="573">
        <v>600</v>
      </c>
      <c r="G27" s="574"/>
      <c r="H27" s="270"/>
      <c r="I27" s="268"/>
      <c r="J27" s="268"/>
      <c r="K27" s="268"/>
      <c r="L27" s="268"/>
      <c r="M27" s="184"/>
      <c r="N27" s="185"/>
      <c r="O27" s="231"/>
      <c r="P27" s="231"/>
      <c r="Q27" s="231"/>
      <c r="R27" s="231"/>
      <c r="S27" s="231"/>
      <c r="T27" s="231"/>
      <c r="U27" s="231"/>
      <c r="V27" s="231"/>
      <c r="W27" s="231"/>
      <c r="X27" s="231"/>
    </row>
    <row r="28" spans="1:24">
      <c r="A28" s="184"/>
      <c r="B28" s="235"/>
      <c r="C28" s="184"/>
      <c r="D28" s="184"/>
      <c r="E28" s="184"/>
      <c r="F28" s="184"/>
      <c r="G28" s="184"/>
      <c r="H28" s="184"/>
      <c r="I28" s="184"/>
      <c r="J28" s="184"/>
      <c r="K28" s="184"/>
      <c r="L28" s="184"/>
      <c r="M28" s="184"/>
      <c r="N28" s="185"/>
      <c r="O28" s="231"/>
      <c r="P28" s="231"/>
      <c r="Q28" s="231"/>
      <c r="R28" s="231"/>
      <c r="S28" s="231"/>
      <c r="T28" s="231"/>
      <c r="U28" s="231"/>
      <c r="V28" s="231"/>
      <c r="W28" s="231"/>
      <c r="X28" s="231"/>
    </row>
    <row r="29" spans="1:24" ht="18.75">
      <c r="A29" s="184"/>
      <c r="B29" s="235"/>
      <c r="C29" s="184"/>
      <c r="D29" s="184"/>
      <c r="E29" s="184"/>
      <c r="F29" s="184"/>
      <c r="G29" s="184"/>
      <c r="H29" s="184"/>
      <c r="I29" s="184"/>
      <c r="J29" s="184"/>
      <c r="K29" s="184"/>
      <c r="L29" s="272"/>
      <c r="M29" s="272"/>
      <c r="N29" s="185"/>
      <c r="O29" s="231"/>
      <c r="P29" s="231"/>
      <c r="Q29" s="231"/>
      <c r="R29" s="231"/>
      <c r="S29" s="231"/>
      <c r="T29" s="231"/>
      <c r="U29" s="231"/>
      <c r="V29" s="231"/>
      <c r="W29" s="231"/>
      <c r="X29" s="231"/>
    </row>
    <row r="30" spans="1:24" ht="51">
      <c r="A30" s="184"/>
      <c r="B30" s="235"/>
      <c r="C30" s="247" t="s">
        <v>264</v>
      </c>
      <c r="D30" s="273" t="s">
        <v>1</v>
      </c>
      <c r="E30" s="248" t="s">
        <v>265</v>
      </c>
      <c r="F30" s="248" t="s">
        <v>266</v>
      </c>
      <c r="G30" s="248" t="s">
        <v>267</v>
      </c>
      <c r="H30" s="249" t="s">
        <v>268</v>
      </c>
      <c r="I30" s="250" t="s">
        <v>269</v>
      </c>
      <c r="J30" s="250" t="s">
        <v>270</v>
      </c>
      <c r="K30" s="248" t="s">
        <v>271</v>
      </c>
      <c r="L30" s="184"/>
      <c r="M30" s="184"/>
      <c r="N30" s="185"/>
      <c r="O30" s="231"/>
      <c r="P30" s="231"/>
      <c r="Q30" s="231"/>
      <c r="R30" s="231"/>
      <c r="S30" s="231"/>
      <c r="T30" s="279"/>
      <c r="U30" s="279"/>
      <c r="V30" s="279"/>
      <c r="W30" s="279"/>
      <c r="X30" s="279"/>
    </row>
    <row r="31" spans="1:24" ht="15.75">
      <c r="A31" s="184"/>
      <c r="B31" s="235"/>
      <c r="C31" s="28">
        <f>IF('Ángulo de Inclinación'!O24=2,VLOOKUP(V31,'Ángulo de Inclinación'!H28:I39,2,FALSE),Consumos!K46)</f>
        <v>118.63729499186567</v>
      </c>
      <c r="D31" s="28" t="str">
        <f>IF('Ángulo de Inclinación'!O24=2,VLOOKUP(Baterías!C31,'Ángulo de Inclinación'!E28:K39,7,FALSE),'Ángulo de Inclinación'!T33)</f>
        <v>Diciembre</v>
      </c>
      <c r="E31" s="151">
        <v>3</v>
      </c>
      <c r="F31" s="151">
        <f>P21/10</f>
        <v>0.7</v>
      </c>
      <c r="G31" s="151">
        <f>Q21/10</f>
        <v>1</v>
      </c>
      <c r="H31" s="28" t="b">
        <f>IF(PV!E20=1,(C29*U29*E29)/(F29*G29),IF(PV!E20=2,(C29*(U29*0.66)*E29)/(F29*G29),IF(PV!E20=3,(C29*(U29-0.61)*E29)/(F29*G29),IF(PV!E20=4,(C29*(U29/2)*E29)/(F29*G29),IF(PV!E20=5,(C29*(U29/3)*E29)/(F29*G29),IF(PV!E20=6,(C29*(U29/4)*E29)/(F29*G29)))))))</f>
        <v>0</v>
      </c>
      <c r="I31" s="37">
        <f>F27</f>
        <v>600</v>
      </c>
      <c r="J31" s="37">
        <f>ROUNDUP(IF(I31=0,"0",(H31/I31)),0)</f>
        <v>0</v>
      </c>
      <c r="K31" s="151">
        <v>1</v>
      </c>
      <c r="L31" s="184"/>
      <c r="M31" s="184"/>
      <c r="N31" s="185"/>
      <c r="O31" s="231"/>
      <c r="P31" s="231"/>
      <c r="Q31" s="231"/>
      <c r="R31" s="231"/>
      <c r="S31" s="231"/>
      <c r="T31" s="279"/>
      <c r="U31" s="280">
        <f>(1+SQRT(5))/2</f>
        <v>1.6180339887498949</v>
      </c>
      <c r="V31" s="281">
        <f>'Ángulo de Inclinación'!S33</f>
        <v>19.453162944599075</v>
      </c>
      <c r="W31" s="279"/>
      <c r="X31" s="279"/>
    </row>
    <row r="32" spans="1:24">
      <c r="A32" s="184"/>
      <c r="B32" s="235"/>
      <c r="C32" s="184"/>
      <c r="D32" s="184"/>
      <c r="E32" s="184"/>
      <c r="F32" s="184"/>
      <c r="G32" s="148"/>
      <c r="H32" s="184"/>
      <c r="I32" s="184"/>
      <c r="J32" s="184"/>
      <c r="K32" s="184"/>
      <c r="L32" s="184"/>
      <c r="M32" s="184"/>
      <c r="N32" s="185"/>
      <c r="O32" s="231"/>
      <c r="P32" s="262"/>
      <c r="Q32" s="262"/>
      <c r="R32" s="231"/>
      <c r="S32" s="231"/>
      <c r="T32" s="279"/>
      <c r="U32" s="279"/>
      <c r="V32" s="279"/>
      <c r="W32" s="279"/>
      <c r="X32" s="279"/>
    </row>
    <row r="33" spans="1:71">
      <c r="A33" s="184"/>
      <c r="B33" s="235"/>
      <c r="C33" s="184"/>
      <c r="D33" s="184"/>
      <c r="E33" s="184"/>
      <c r="F33" s="184"/>
      <c r="G33" s="184"/>
      <c r="H33" s="184"/>
      <c r="I33" s="184"/>
      <c r="J33" s="184"/>
      <c r="K33" s="184"/>
      <c r="L33" s="184"/>
      <c r="M33" s="184"/>
      <c r="N33" s="185"/>
      <c r="O33" s="231"/>
      <c r="P33" s="262"/>
      <c r="Q33" s="262"/>
      <c r="R33" s="231"/>
      <c r="S33" s="231"/>
      <c r="T33" s="279"/>
      <c r="U33" s="279"/>
      <c r="V33" s="279"/>
      <c r="W33" s="279"/>
      <c r="X33" s="279"/>
    </row>
    <row r="34" spans="1:71" ht="38.25">
      <c r="A34" s="184"/>
      <c r="B34" s="235"/>
      <c r="C34" s="184"/>
      <c r="D34" s="184"/>
      <c r="E34" s="184"/>
      <c r="F34" s="247" t="s">
        <v>233</v>
      </c>
      <c r="G34" s="249" t="s">
        <v>272</v>
      </c>
      <c r="H34" s="253" t="s">
        <v>273</v>
      </c>
      <c r="I34" s="253" t="s">
        <v>274</v>
      </c>
      <c r="J34" s="254" t="s">
        <v>275</v>
      </c>
      <c r="K34" s="184"/>
      <c r="L34" s="184"/>
      <c r="M34" s="184"/>
      <c r="N34" s="185"/>
      <c r="O34" s="231"/>
      <c r="P34" s="231"/>
      <c r="Q34" s="231"/>
      <c r="R34" s="231"/>
      <c r="S34" s="231"/>
      <c r="T34" s="279"/>
      <c r="U34" s="279"/>
      <c r="V34" s="279"/>
      <c r="W34" s="279"/>
      <c r="X34" s="279"/>
    </row>
    <row r="35" spans="1:71" ht="15.75">
      <c r="A35" s="268"/>
      <c r="B35" s="274"/>
      <c r="C35" s="184"/>
      <c r="D35" s="184"/>
      <c r="E35" s="268"/>
      <c r="F35" s="37">
        <f>IF('Ángulo de Inclinación'!O24=2,'Ángulo de Inclinación'!#REF!,Consumos!F46)</f>
        <v>220</v>
      </c>
      <c r="G35" s="37">
        <f>F24</f>
        <v>24</v>
      </c>
      <c r="H35" s="43">
        <f>IF(G35=0,"0",F35/G35)</f>
        <v>9.1666666666666661</v>
      </c>
      <c r="I35" s="43">
        <f>K31</f>
        <v>1</v>
      </c>
      <c r="J35" s="43">
        <f>I35*H35</f>
        <v>9.1666666666666661</v>
      </c>
      <c r="K35" s="184"/>
      <c r="L35" s="184"/>
      <c r="M35" s="268"/>
      <c r="N35" s="275"/>
      <c r="O35" s="276"/>
      <c r="P35" s="276"/>
      <c r="Q35" s="276"/>
      <c r="R35" s="276"/>
      <c r="S35" s="276"/>
      <c r="T35" s="276"/>
      <c r="U35" s="276"/>
      <c r="V35" s="276"/>
      <c r="W35" s="276"/>
      <c r="X35" s="27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row>
    <row r="36" spans="1:71">
      <c r="A36" s="268"/>
      <c r="B36" s="274"/>
      <c r="C36" s="184"/>
      <c r="D36" s="184"/>
      <c r="E36" s="184"/>
      <c r="F36" s="184"/>
      <c r="G36" s="184"/>
      <c r="H36" s="184"/>
      <c r="I36" s="184"/>
      <c r="J36" s="184"/>
      <c r="K36" s="184"/>
      <c r="L36" s="184"/>
      <c r="M36" s="268"/>
      <c r="N36" s="275"/>
      <c r="O36" s="276"/>
      <c r="P36" s="276"/>
      <c r="Q36" s="276"/>
      <c r="R36" s="276"/>
      <c r="S36" s="276"/>
      <c r="T36" s="276"/>
      <c r="U36" s="276"/>
      <c r="V36" s="276"/>
      <c r="W36" s="276"/>
      <c r="X36" s="27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row>
    <row r="37" spans="1:71" ht="63.75">
      <c r="A37" s="268"/>
      <c r="B37" s="274"/>
      <c r="C37" s="247" t="s">
        <v>274</v>
      </c>
      <c r="D37" s="249" t="s">
        <v>276</v>
      </c>
      <c r="E37" s="249" t="s">
        <v>277</v>
      </c>
      <c r="F37" s="250" t="s">
        <v>278</v>
      </c>
      <c r="G37" s="250" t="s">
        <v>279</v>
      </c>
      <c r="H37" s="250" t="s">
        <v>280</v>
      </c>
      <c r="I37" s="250" t="s">
        <v>281</v>
      </c>
      <c r="J37" s="250" t="s">
        <v>282</v>
      </c>
      <c r="K37" s="251" t="s">
        <v>283</v>
      </c>
      <c r="L37" s="277"/>
      <c r="M37" s="268"/>
      <c r="N37" s="275"/>
      <c r="O37" s="276"/>
      <c r="P37" s="276"/>
      <c r="Q37" s="276"/>
      <c r="R37" s="276"/>
      <c r="S37" s="276"/>
      <c r="T37" s="276"/>
      <c r="U37" s="276"/>
      <c r="V37" s="276"/>
      <c r="W37" s="276"/>
      <c r="X37" s="27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row>
    <row r="38" spans="1:71" ht="30">
      <c r="A38" s="268"/>
      <c r="B38" s="274"/>
      <c r="C38" s="37">
        <f>K31</f>
        <v>1</v>
      </c>
      <c r="D38" s="28">
        <f>I31</f>
        <v>600</v>
      </c>
      <c r="E38" s="28">
        <f>D38*C38</f>
        <v>600</v>
      </c>
      <c r="F38" s="44">
        <f>F31</f>
        <v>0.7</v>
      </c>
      <c r="G38" s="37">
        <f>E38*F38</f>
        <v>420</v>
      </c>
      <c r="H38" s="278">
        <f>(C31*0.75/E38)</f>
        <v>0.14829661873983208</v>
      </c>
      <c r="I38" s="278">
        <f>((C31*E31)/E38)+H38</f>
        <v>0.74148309369916032</v>
      </c>
      <c r="J38" s="106" t="str">
        <f>U38</f>
        <v>DEGRADACIÓN DE BATERÍAS</v>
      </c>
      <c r="K38" s="106" t="str">
        <f>W38</f>
        <v>DEGRADACIÓN DE BATERÍAS</v>
      </c>
      <c r="L38" s="268"/>
      <c r="M38" s="268"/>
      <c r="N38" s="275"/>
      <c r="O38" s="276"/>
      <c r="P38" s="276"/>
      <c r="Q38" s="276"/>
      <c r="R38" s="276"/>
      <c r="S38" s="276"/>
      <c r="T38" s="407">
        <f>IF(AND('Ángulo de Inclinación'!O24=2,'Ángulo de Inclinación'!E28=0,'Ángulo de Inclinación'!E29=0,'Ángulo de Inclinación'!E39=0),"NO APLICA",ROUND(G38/((PV!E34*PV!E27*AVERAGE('Ángulo de Inclinación'!G28:G30)-C31*0.8)),0))</f>
        <v>-6</v>
      </c>
      <c r="U38" s="276" t="str">
        <f>IF(T38&lt;1,"DEGRADACIÓN DE BATERÍAS",T38)</f>
        <v>DEGRADACIÓN DE BATERÍAS</v>
      </c>
      <c r="V38" s="407">
        <f>IF(AND('Ángulo de Inclinación'!O24=2,'Ángulo de Inclinación'!E31=0,'Ángulo de Inclinación'!E32=0,'Ángulo de Inclinación'!E33=0,'Ángulo de Inclinación'!E34=0,'Ángulo de Inclinación'!E35=0),"NO APLICA",ROUND(G38/((PV!E34*PV!E27*AVERAGE('Ángulo de Inclinación'!G33:G35)-C31)),0))</f>
        <v>-4</v>
      </c>
      <c r="W38" s="276" t="str">
        <f>IF(V38&lt;1,"DEGRADACIÓN DE BATERÍAS",V38)</f>
        <v>DEGRADACIÓN DE BATERÍAS</v>
      </c>
      <c r="X38" s="27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row>
    <row r="39" spans="1:71">
      <c r="A39" s="268"/>
      <c r="B39" s="274"/>
      <c r="C39" s="268"/>
      <c r="D39" s="268"/>
      <c r="E39" s="268"/>
      <c r="F39" s="268"/>
      <c r="G39" s="268"/>
      <c r="H39" s="268"/>
      <c r="I39" s="268"/>
      <c r="J39" s="268"/>
      <c r="K39" s="268"/>
      <c r="L39" s="268"/>
      <c r="M39" s="268"/>
      <c r="N39" s="275"/>
      <c r="O39" s="276"/>
      <c r="P39" s="276"/>
      <c r="Q39" s="276"/>
      <c r="R39" s="276"/>
      <c r="S39" s="276"/>
      <c r="T39" s="276"/>
      <c r="U39" s="276"/>
      <c r="V39" s="276"/>
      <c r="W39" s="276"/>
      <c r="X39" s="27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row>
    <row r="40" spans="1:71">
      <c r="A40" s="184"/>
      <c r="B40" s="258"/>
      <c r="C40" s="259"/>
      <c r="D40" s="259"/>
      <c r="E40" s="259"/>
      <c r="F40" s="259"/>
      <c r="G40" s="259"/>
      <c r="H40" s="259"/>
      <c r="I40" s="259"/>
      <c r="J40" s="259"/>
      <c r="K40" s="259"/>
      <c r="L40" s="259"/>
      <c r="M40" s="259"/>
      <c r="N40" s="260"/>
      <c r="O40" s="231"/>
      <c r="P40" s="231"/>
      <c r="Q40" s="231"/>
      <c r="R40" s="231"/>
      <c r="S40" s="231"/>
      <c r="T40" s="231"/>
      <c r="U40" s="231"/>
      <c r="V40" s="231"/>
      <c r="W40" s="231"/>
      <c r="X40" s="231"/>
    </row>
    <row r="41" spans="1:71">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71">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row>
    <row r="43" spans="1:71">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row>
    <row r="44" spans="1:71">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row>
    <row r="45" spans="1:71">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row>
    <row r="46" spans="1:71">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row>
    <row r="47" spans="1:71">
      <c r="A47" s="231"/>
      <c r="B47" s="231"/>
      <c r="C47" s="231"/>
      <c r="D47" s="231"/>
      <c r="E47" s="231"/>
      <c r="F47" s="231"/>
      <c r="G47" s="231"/>
      <c r="H47" s="231"/>
      <c r="I47" s="231"/>
      <c r="J47" s="231"/>
      <c r="K47" s="231"/>
      <c r="L47" s="231"/>
      <c r="M47" s="231"/>
      <c r="N47" s="231"/>
      <c r="O47" s="231"/>
      <c r="P47" s="231"/>
      <c r="Q47" s="231"/>
      <c r="R47" s="231"/>
      <c r="S47" s="231"/>
      <c r="T47" s="231"/>
      <c r="U47" s="231"/>
      <c r="V47" s="231"/>
      <c r="W47" s="231"/>
      <c r="X47" s="231"/>
    </row>
    <row r="48" spans="1:71">
      <c r="A48" s="231"/>
      <c r="B48" s="231"/>
      <c r="C48" s="231"/>
      <c r="D48" s="231"/>
      <c r="E48" s="231"/>
      <c r="F48" s="231"/>
      <c r="G48" s="231"/>
      <c r="H48" s="231"/>
      <c r="I48" s="231"/>
      <c r="J48" s="231"/>
      <c r="K48" s="231"/>
      <c r="L48" s="231"/>
      <c r="M48" s="231"/>
      <c r="N48" s="231"/>
      <c r="O48" s="231"/>
      <c r="P48" s="231"/>
      <c r="Q48" s="231"/>
      <c r="R48" s="231"/>
      <c r="S48" s="231"/>
      <c r="T48" s="231"/>
      <c r="U48" s="231"/>
      <c r="V48" s="231"/>
      <c r="W48" s="231"/>
      <c r="X48" s="231"/>
    </row>
    <row r="49" spans="1:24">
      <c r="A49" s="231"/>
      <c r="B49" s="231"/>
      <c r="C49" s="231"/>
      <c r="D49" s="231"/>
      <c r="E49" s="231"/>
      <c r="F49" s="231"/>
      <c r="G49" s="231"/>
      <c r="H49" s="231"/>
      <c r="I49" s="231"/>
      <c r="J49" s="231"/>
      <c r="K49" s="231"/>
      <c r="L49" s="231"/>
      <c r="M49" s="231"/>
      <c r="N49" s="231"/>
      <c r="O49" s="231"/>
      <c r="P49" s="231"/>
      <c r="Q49" s="231"/>
      <c r="R49" s="231"/>
      <c r="S49" s="231"/>
      <c r="T49" s="231"/>
      <c r="U49" s="231"/>
      <c r="V49" s="231"/>
      <c r="W49" s="231"/>
      <c r="X49" s="231"/>
    </row>
    <row r="50" spans="1:24">
      <c r="A50" s="231"/>
      <c r="B50" s="231"/>
      <c r="C50" s="231"/>
      <c r="D50" s="231"/>
      <c r="E50" s="231"/>
      <c r="F50" s="231"/>
      <c r="G50" s="231"/>
      <c r="H50" s="231"/>
      <c r="I50" s="231"/>
      <c r="J50" s="231"/>
      <c r="K50" s="231"/>
      <c r="L50" s="231"/>
      <c r="M50" s="231"/>
      <c r="N50" s="231"/>
      <c r="O50" s="231"/>
      <c r="P50" s="231"/>
      <c r="Q50" s="231"/>
      <c r="R50" s="231"/>
      <c r="S50" s="231"/>
      <c r="T50" s="231"/>
      <c r="U50" s="231"/>
      <c r="V50" s="231"/>
      <c r="W50" s="231"/>
      <c r="X50" s="231"/>
    </row>
    <row r="51" spans="1:24">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row>
    <row r="52" spans="1:24">
      <c r="A52" s="231"/>
      <c r="B52" s="231"/>
      <c r="C52" s="231"/>
      <c r="D52" s="231"/>
      <c r="E52" s="231"/>
      <c r="F52" s="231"/>
      <c r="G52" s="231"/>
      <c r="H52" s="231"/>
      <c r="I52" s="231"/>
      <c r="J52" s="231"/>
      <c r="K52" s="231"/>
      <c r="L52" s="231"/>
      <c r="M52" s="231"/>
      <c r="N52" s="231"/>
      <c r="O52" s="231"/>
      <c r="P52" s="231"/>
      <c r="Q52" s="231"/>
      <c r="R52" s="231"/>
      <c r="S52" s="231"/>
      <c r="T52" s="231"/>
      <c r="U52" s="231"/>
      <c r="V52" s="231"/>
      <c r="W52" s="231"/>
      <c r="X52" s="231"/>
    </row>
    <row r="53" spans="1:24">
      <c r="A53" s="231"/>
      <c r="B53" s="231"/>
      <c r="C53" s="231"/>
      <c r="D53" s="231"/>
      <c r="E53" s="231"/>
      <c r="F53" s="231"/>
      <c r="G53" s="231"/>
      <c r="H53" s="231"/>
      <c r="I53" s="231"/>
      <c r="J53" s="231"/>
      <c r="K53" s="231"/>
      <c r="L53" s="231"/>
      <c r="M53" s="231"/>
      <c r="N53" s="231"/>
      <c r="O53" s="231"/>
      <c r="P53" s="231"/>
      <c r="Q53" s="231"/>
      <c r="R53" s="231"/>
      <c r="S53" s="231"/>
      <c r="T53" s="231"/>
      <c r="U53" s="231"/>
      <c r="V53" s="231"/>
      <c r="W53" s="231"/>
      <c r="X53" s="231"/>
    </row>
    <row r="54" spans="1:24">
      <c r="A54" s="231"/>
      <c r="B54" s="231"/>
      <c r="C54" s="231"/>
      <c r="D54" s="231"/>
      <c r="E54" s="231"/>
      <c r="F54" s="231"/>
      <c r="G54" s="231"/>
      <c r="H54" s="231"/>
      <c r="I54" s="231"/>
      <c r="J54" s="231"/>
      <c r="K54" s="231"/>
      <c r="L54" s="231"/>
      <c r="M54" s="231"/>
      <c r="N54" s="231"/>
      <c r="O54" s="231"/>
      <c r="P54" s="231"/>
      <c r="Q54" s="231"/>
      <c r="R54" s="231"/>
      <c r="S54" s="231"/>
      <c r="T54" s="231"/>
      <c r="U54" s="231"/>
      <c r="V54" s="231"/>
      <c r="W54" s="231"/>
      <c r="X54" s="231"/>
    </row>
    <row r="55" spans="1:24">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row>
    <row r="56" spans="1:24">
      <c r="A56" s="231"/>
      <c r="B56" s="231"/>
      <c r="C56" s="231"/>
      <c r="D56" s="231"/>
      <c r="E56" s="231"/>
      <c r="F56" s="231"/>
      <c r="G56" s="231"/>
      <c r="H56" s="231"/>
      <c r="I56" s="231"/>
      <c r="J56" s="231"/>
      <c r="K56" s="231"/>
      <c r="L56" s="231"/>
      <c r="M56" s="231"/>
      <c r="N56" s="231"/>
      <c r="O56" s="231"/>
      <c r="P56" s="231"/>
      <c r="Q56" s="231"/>
      <c r="R56" s="231"/>
      <c r="S56" s="231"/>
      <c r="T56" s="231"/>
      <c r="U56" s="231"/>
      <c r="V56" s="231"/>
      <c r="W56" s="231"/>
      <c r="X56" s="231"/>
    </row>
    <row r="57" spans="1:24">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row>
    <row r="58" spans="1:24">
      <c r="A58" s="231"/>
      <c r="B58" s="231"/>
      <c r="C58" s="231"/>
      <c r="D58" s="231"/>
      <c r="E58" s="231"/>
      <c r="F58" s="231"/>
      <c r="G58" s="231"/>
      <c r="H58" s="231"/>
      <c r="I58" s="231"/>
      <c r="J58" s="231"/>
      <c r="K58" s="231"/>
      <c r="L58" s="231"/>
      <c r="M58" s="231"/>
      <c r="N58" s="231"/>
      <c r="O58" s="231"/>
      <c r="P58" s="231"/>
      <c r="Q58" s="231"/>
      <c r="R58" s="231"/>
      <c r="S58" s="231"/>
      <c r="T58" s="231"/>
      <c r="U58" s="231"/>
      <c r="V58" s="231"/>
      <c r="W58" s="231"/>
      <c r="X58" s="231"/>
    </row>
    <row r="59" spans="1:24">
      <c r="A59" s="231"/>
      <c r="B59" s="231"/>
      <c r="C59" s="231"/>
      <c r="D59" s="231"/>
      <c r="E59" s="231"/>
      <c r="F59" s="231"/>
      <c r="G59" s="231"/>
      <c r="H59" s="231"/>
      <c r="I59" s="231"/>
      <c r="J59" s="231"/>
      <c r="K59" s="231"/>
      <c r="L59" s="231"/>
      <c r="M59" s="231"/>
      <c r="N59" s="231"/>
      <c r="O59" s="231"/>
      <c r="P59" s="231"/>
      <c r="Q59" s="231"/>
      <c r="R59" s="231"/>
      <c r="S59" s="231"/>
      <c r="T59" s="231"/>
      <c r="U59" s="231"/>
      <c r="V59" s="231"/>
      <c r="W59" s="231"/>
      <c r="X59" s="231"/>
    </row>
    <row r="60" spans="1:24">
      <c r="A60" s="231"/>
      <c r="B60" s="231"/>
      <c r="C60" s="231"/>
      <c r="D60" s="231"/>
      <c r="E60" s="231"/>
      <c r="F60" s="231"/>
      <c r="G60" s="231"/>
      <c r="H60" s="231"/>
      <c r="I60" s="231"/>
      <c r="J60" s="231"/>
      <c r="K60" s="231"/>
      <c r="L60" s="231"/>
      <c r="M60" s="231"/>
      <c r="N60" s="231"/>
      <c r="O60" s="231"/>
      <c r="P60" s="231"/>
      <c r="Q60" s="231"/>
      <c r="R60" s="231"/>
      <c r="S60" s="231"/>
      <c r="T60" s="231"/>
      <c r="U60" s="231"/>
      <c r="V60" s="231"/>
      <c r="W60" s="231"/>
      <c r="X60" s="231"/>
    </row>
    <row r="61" spans="1:24">
      <c r="A61" s="231"/>
      <c r="B61" s="231"/>
      <c r="C61" s="231"/>
      <c r="D61" s="231"/>
      <c r="E61" s="231"/>
      <c r="F61" s="231"/>
      <c r="G61" s="231"/>
      <c r="H61" s="231"/>
      <c r="I61" s="231"/>
      <c r="J61" s="231"/>
      <c r="K61" s="231"/>
      <c r="L61" s="231"/>
      <c r="M61" s="231"/>
      <c r="N61" s="231"/>
      <c r="O61" s="231"/>
      <c r="P61" s="231"/>
      <c r="Q61" s="231"/>
      <c r="R61" s="231"/>
      <c r="S61" s="231"/>
      <c r="T61" s="231"/>
      <c r="U61" s="231"/>
      <c r="V61" s="231"/>
      <c r="W61" s="231"/>
      <c r="X61" s="231"/>
    </row>
    <row r="62" spans="1:24">
      <c r="A62" s="231"/>
      <c r="B62" s="231"/>
      <c r="C62" s="231"/>
      <c r="D62" s="231"/>
      <c r="E62" s="231"/>
      <c r="F62" s="231"/>
      <c r="G62" s="231"/>
      <c r="H62" s="231"/>
      <c r="I62" s="231"/>
      <c r="J62" s="231"/>
      <c r="K62" s="231"/>
      <c r="L62" s="231"/>
      <c r="M62" s="231"/>
      <c r="N62" s="231"/>
      <c r="O62" s="231"/>
      <c r="P62" s="231"/>
      <c r="Q62" s="231"/>
      <c r="R62" s="231"/>
      <c r="S62" s="231"/>
      <c r="T62" s="231"/>
      <c r="U62" s="231"/>
      <c r="V62" s="231"/>
      <c r="W62" s="231"/>
      <c r="X62" s="231"/>
    </row>
    <row r="63" spans="1:24">
      <c r="A63" s="231"/>
      <c r="B63" s="231"/>
      <c r="C63" s="231"/>
      <c r="D63" s="231"/>
      <c r="E63" s="231"/>
      <c r="F63" s="231"/>
      <c r="G63" s="231"/>
      <c r="H63" s="231"/>
      <c r="I63" s="231"/>
      <c r="J63" s="231"/>
      <c r="K63" s="231"/>
      <c r="L63" s="231"/>
      <c r="M63" s="231"/>
      <c r="N63" s="231"/>
      <c r="O63" s="231"/>
      <c r="P63" s="231"/>
      <c r="Q63" s="231"/>
      <c r="R63" s="231"/>
      <c r="S63" s="231"/>
      <c r="T63" s="231"/>
      <c r="U63" s="231"/>
      <c r="V63" s="231"/>
      <c r="W63" s="231"/>
      <c r="X63" s="231"/>
    </row>
    <row r="64" spans="1:24">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row>
    <row r="65" spans="1:24">
      <c r="A65" s="231"/>
      <c r="B65" s="231"/>
      <c r="C65" s="231"/>
      <c r="D65" s="231"/>
      <c r="E65" s="231"/>
      <c r="F65" s="231"/>
      <c r="G65" s="231"/>
      <c r="H65" s="231"/>
      <c r="I65" s="231"/>
      <c r="J65" s="231"/>
      <c r="K65" s="231"/>
      <c r="L65" s="231"/>
      <c r="M65" s="231"/>
      <c r="N65" s="231"/>
      <c r="O65" s="231"/>
      <c r="P65" s="231"/>
      <c r="Q65" s="231"/>
      <c r="R65" s="231"/>
      <c r="S65" s="231"/>
      <c r="T65" s="231"/>
      <c r="U65" s="231"/>
      <c r="V65" s="231"/>
      <c r="W65" s="231"/>
      <c r="X65" s="231"/>
    </row>
    <row r="66" spans="1:24">
      <c r="A66" s="231"/>
      <c r="B66" s="231"/>
      <c r="C66" s="231"/>
      <c r="D66" s="231"/>
      <c r="E66" s="231"/>
      <c r="F66" s="231"/>
      <c r="G66" s="231"/>
      <c r="H66" s="231"/>
      <c r="I66" s="231"/>
      <c r="J66" s="231"/>
      <c r="K66" s="231"/>
      <c r="L66" s="231"/>
      <c r="M66" s="231"/>
      <c r="N66" s="231"/>
      <c r="O66" s="231"/>
      <c r="P66" s="231"/>
      <c r="Q66" s="231"/>
      <c r="R66" s="231"/>
      <c r="S66" s="231"/>
      <c r="T66" s="231"/>
      <c r="U66" s="231"/>
      <c r="V66" s="231"/>
      <c r="W66" s="231"/>
      <c r="X66" s="231"/>
    </row>
    <row r="67" spans="1:24">
      <c r="A67" s="231"/>
      <c r="B67" s="231"/>
      <c r="C67" s="231"/>
      <c r="D67" s="231"/>
      <c r="E67" s="231"/>
      <c r="F67" s="231"/>
      <c r="G67" s="231"/>
      <c r="H67" s="231"/>
      <c r="I67" s="231"/>
      <c r="J67" s="231"/>
      <c r="K67" s="231"/>
      <c r="L67" s="231"/>
      <c r="M67" s="231"/>
      <c r="N67" s="231"/>
      <c r="O67" s="231"/>
      <c r="P67" s="231"/>
      <c r="Q67" s="231"/>
      <c r="R67" s="231"/>
      <c r="S67" s="231"/>
      <c r="T67" s="231"/>
      <c r="U67" s="231"/>
      <c r="V67" s="231"/>
      <c r="W67" s="231"/>
      <c r="X67" s="231"/>
    </row>
    <row r="68" spans="1:24">
      <c r="A68" s="231"/>
      <c r="B68" s="231"/>
      <c r="C68" s="231"/>
      <c r="D68" s="231"/>
      <c r="E68" s="231"/>
      <c r="F68" s="231"/>
      <c r="G68" s="231"/>
      <c r="H68" s="231"/>
      <c r="I68" s="231"/>
      <c r="J68" s="231"/>
      <c r="K68" s="231"/>
      <c r="L68" s="231"/>
      <c r="M68" s="231"/>
      <c r="N68" s="231"/>
      <c r="O68" s="231"/>
      <c r="P68" s="231"/>
      <c r="Q68" s="231"/>
      <c r="R68" s="231"/>
      <c r="S68" s="231"/>
      <c r="T68" s="231"/>
      <c r="U68" s="231"/>
      <c r="V68" s="231"/>
      <c r="W68" s="231"/>
      <c r="X68" s="231"/>
    </row>
    <row r="69" spans="1:24">
      <c r="A69" s="231"/>
      <c r="B69" s="231"/>
      <c r="C69" s="231"/>
      <c r="D69" s="231"/>
      <c r="E69" s="231"/>
      <c r="F69" s="231"/>
      <c r="G69" s="231"/>
      <c r="H69" s="231"/>
      <c r="I69" s="231"/>
      <c r="J69" s="231"/>
      <c r="K69" s="231"/>
      <c r="L69" s="231"/>
      <c r="M69" s="231"/>
      <c r="N69" s="231"/>
      <c r="O69" s="231"/>
      <c r="P69" s="231"/>
      <c r="Q69" s="231"/>
      <c r="R69" s="231"/>
      <c r="S69" s="231"/>
      <c r="T69" s="231"/>
      <c r="U69" s="231"/>
      <c r="V69" s="231"/>
      <c r="W69" s="231"/>
      <c r="X69" s="231"/>
    </row>
    <row r="70" spans="1:24">
      <c r="A70" s="231"/>
      <c r="B70" s="231"/>
      <c r="C70" s="231"/>
      <c r="D70" s="231"/>
      <c r="E70" s="231"/>
      <c r="F70" s="231"/>
      <c r="G70" s="231"/>
      <c r="H70" s="231"/>
      <c r="I70" s="231"/>
      <c r="J70" s="231"/>
      <c r="K70" s="231"/>
      <c r="L70" s="231"/>
      <c r="M70" s="231"/>
      <c r="N70" s="231"/>
      <c r="O70" s="231"/>
      <c r="P70" s="231"/>
      <c r="Q70" s="231"/>
      <c r="R70" s="231"/>
      <c r="S70" s="231"/>
      <c r="T70" s="231"/>
      <c r="U70" s="231"/>
      <c r="V70" s="231"/>
      <c r="W70" s="231"/>
      <c r="X70" s="231"/>
    </row>
    <row r="71" spans="1:24">
      <c r="A71" s="231"/>
      <c r="B71" s="231"/>
      <c r="C71" s="231"/>
      <c r="D71" s="231"/>
      <c r="E71" s="231"/>
      <c r="F71" s="231"/>
      <c r="G71" s="231"/>
      <c r="H71" s="231"/>
      <c r="I71" s="231"/>
      <c r="J71" s="231"/>
      <c r="K71" s="231"/>
      <c r="L71" s="231"/>
      <c r="M71" s="231"/>
      <c r="N71" s="231"/>
      <c r="O71" s="231"/>
      <c r="P71" s="231"/>
      <c r="Q71" s="231"/>
      <c r="R71" s="231"/>
      <c r="S71" s="231"/>
      <c r="T71" s="231"/>
      <c r="U71" s="231"/>
      <c r="V71" s="231"/>
      <c r="W71" s="231"/>
      <c r="X71" s="231"/>
    </row>
    <row r="72" spans="1:24">
      <c r="A72" s="231"/>
      <c r="B72" s="231"/>
      <c r="C72" s="231"/>
      <c r="D72" s="231"/>
      <c r="E72" s="231"/>
      <c r="F72" s="231"/>
      <c r="G72" s="231"/>
      <c r="H72" s="231"/>
      <c r="I72" s="231"/>
      <c r="J72" s="231"/>
      <c r="K72" s="231"/>
      <c r="L72" s="231"/>
      <c r="M72" s="231"/>
      <c r="N72" s="231"/>
      <c r="O72" s="231"/>
      <c r="P72" s="231"/>
      <c r="Q72" s="231"/>
      <c r="R72" s="231"/>
      <c r="S72" s="231"/>
      <c r="T72" s="231"/>
      <c r="U72" s="231"/>
      <c r="V72" s="231"/>
      <c r="W72" s="231"/>
      <c r="X72" s="231"/>
    </row>
    <row r="73" spans="1:24">
      <c r="A73" s="231"/>
      <c r="B73" s="231"/>
      <c r="C73" s="231"/>
      <c r="D73" s="231"/>
      <c r="E73" s="231"/>
      <c r="F73" s="231"/>
      <c r="G73" s="231"/>
      <c r="H73" s="231"/>
      <c r="I73" s="231"/>
      <c r="J73" s="231"/>
      <c r="K73" s="231"/>
      <c r="L73" s="231"/>
      <c r="M73" s="231"/>
      <c r="N73" s="231"/>
      <c r="O73" s="231"/>
      <c r="P73" s="231"/>
      <c r="Q73" s="231"/>
      <c r="R73" s="231"/>
      <c r="S73" s="231"/>
      <c r="T73" s="231"/>
      <c r="U73" s="231"/>
      <c r="V73" s="231"/>
      <c r="W73" s="231"/>
      <c r="X73" s="231"/>
    </row>
    <row r="74" spans="1:24">
      <c r="A74" s="231"/>
      <c r="B74" s="231"/>
      <c r="C74" s="231"/>
      <c r="D74" s="231"/>
      <c r="E74" s="231"/>
      <c r="F74" s="231"/>
      <c r="G74" s="231"/>
      <c r="H74" s="231"/>
      <c r="I74" s="231"/>
      <c r="J74" s="231"/>
      <c r="K74" s="231"/>
      <c r="L74" s="231"/>
      <c r="M74" s="231"/>
      <c r="N74" s="231"/>
      <c r="O74" s="231"/>
      <c r="P74" s="231"/>
      <c r="Q74" s="231"/>
      <c r="R74" s="231"/>
      <c r="S74" s="231"/>
      <c r="T74" s="231"/>
      <c r="U74" s="231"/>
      <c r="V74" s="231"/>
      <c r="W74" s="231"/>
      <c r="X74" s="231"/>
    </row>
    <row r="75" spans="1:24">
      <c r="A75" s="231"/>
      <c r="B75" s="231"/>
      <c r="C75" s="231"/>
      <c r="D75" s="231"/>
      <c r="E75" s="231"/>
      <c r="F75" s="231"/>
      <c r="G75" s="231"/>
      <c r="H75" s="231"/>
      <c r="I75" s="231"/>
      <c r="J75" s="231"/>
      <c r="K75" s="231"/>
      <c r="L75" s="231"/>
      <c r="M75" s="231"/>
      <c r="N75" s="231"/>
      <c r="O75" s="231"/>
      <c r="P75" s="231"/>
      <c r="Q75" s="231"/>
      <c r="R75" s="231"/>
      <c r="S75" s="231"/>
      <c r="T75" s="231"/>
      <c r="U75" s="231"/>
      <c r="V75" s="231"/>
      <c r="W75" s="231"/>
      <c r="X75" s="231"/>
    </row>
    <row r="76" spans="1:24">
      <c r="A76" s="231"/>
      <c r="B76" s="231"/>
      <c r="C76" s="231"/>
      <c r="D76" s="231"/>
      <c r="E76" s="231"/>
      <c r="F76" s="231"/>
      <c r="G76" s="231"/>
      <c r="H76" s="231"/>
      <c r="I76" s="231"/>
      <c r="J76" s="231"/>
      <c r="K76" s="231"/>
      <c r="L76" s="231"/>
      <c r="M76" s="231"/>
      <c r="N76" s="231"/>
      <c r="O76" s="231"/>
      <c r="P76" s="231"/>
      <c r="Q76" s="231"/>
      <c r="R76" s="231"/>
      <c r="S76" s="231"/>
      <c r="T76" s="231"/>
      <c r="U76" s="231"/>
      <c r="V76" s="231"/>
      <c r="W76" s="231"/>
      <c r="X76" s="231"/>
    </row>
    <row r="77" spans="1:24">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row>
    <row r="78" spans="1:24">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row>
    <row r="79" spans="1:24">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row>
    <row r="80" spans="1:24">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row>
    <row r="81" spans="1:24">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row>
    <row r="82" spans="1:24">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row>
    <row r="83" spans="1:24">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row>
    <row r="93" spans="1:24">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row>
    <row r="94" spans="1:24">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row>
    <row r="95" spans="1:24">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row>
    <row r="96" spans="1:24">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row>
    <row r="97" spans="1:24">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row>
    <row r="98" spans="1:24">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row>
    <row r="99" spans="1:24">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row>
    <row r="100" spans="1:24">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row>
    <row r="101" spans="1:24">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row>
    <row r="102" spans="1:24">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row>
    <row r="103" spans="1:24">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row>
    <row r="104" spans="1:24">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row>
    <row r="105" spans="1:24">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row>
    <row r="106" spans="1:24">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row>
    <row r="107" spans="1:24">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row>
    <row r="108" spans="1:24">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row>
    <row r="109" spans="1:24">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row>
    <row r="110" spans="1:24">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row>
    <row r="111" spans="1:24">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row>
    <row r="112" spans="1:24">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row>
    <row r="113" spans="1:24">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row>
    <row r="114" spans="1:24">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row>
    <row r="115" spans="1:24">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row>
    <row r="116" spans="1:24">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row>
    <row r="117" spans="1:24">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row>
    <row r="118" spans="1:24">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row>
    <row r="119" spans="1:24">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row>
    <row r="120" spans="1:24">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row>
    <row r="121" spans="1:24">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row>
    <row r="122" spans="1:24">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row>
    <row r="123" spans="1:24">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row>
    <row r="124" spans="1:24">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row>
    <row r="125" spans="1:24">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row>
    <row r="126" spans="1:24">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row>
    <row r="127" spans="1:24">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row>
    <row r="128" spans="1:24">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row>
    <row r="129" spans="1:24">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row>
    <row r="130" spans="1:24">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row>
    <row r="131" spans="1:24">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row>
    <row r="132" spans="1:24">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row>
    <row r="133" spans="1:24">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row>
    <row r="134" spans="1:24">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row>
    <row r="135" spans="1:24">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row>
    <row r="136" spans="1:24">
      <c r="A136" s="231"/>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row>
    <row r="137" spans="1:24">
      <c r="A137" s="231"/>
      <c r="B137" s="231"/>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row>
    <row r="138" spans="1:24">
      <c r="A138" s="231"/>
      <c r="B138" s="231"/>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row>
    <row r="139" spans="1:24">
      <c r="A139" s="231"/>
      <c r="B139" s="231"/>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row>
    <row r="140" spans="1:24">
      <c r="A140" s="231"/>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row>
    <row r="141" spans="1:24">
      <c r="A141" s="231"/>
      <c r="B141" s="231"/>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row>
    <row r="142" spans="1:24">
      <c r="A142" s="231"/>
      <c r="B142" s="231"/>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row>
    <row r="143" spans="1:24">
      <c r="A143" s="231"/>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row>
    <row r="144" spans="1:24">
      <c r="A144" s="231"/>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row>
    <row r="145" spans="1:24">
      <c r="A145" s="231"/>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row>
    <row r="146" spans="1:24">
      <c r="A146" s="231"/>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row>
    <row r="147" spans="1:24">
      <c r="A147" s="231"/>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row>
    <row r="148" spans="1:24">
      <c r="A148" s="23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row>
    <row r="149" spans="1:24">
      <c r="A149" s="231"/>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row>
    <row r="150" spans="1:24">
      <c r="A150" s="23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row>
    <row r="151" spans="1:24">
      <c r="A151" s="23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row>
    <row r="152" spans="1:24">
      <c r="A152" s="23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row>
    <row r="153" spans="1:24">
      <c r="A153" s="231"/>
      <c r="B153" s="231"/>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row>
    <row r="154" spans="1:24">
      <c r="A154" s="231"/>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row>
    <row r="155" spans="1:24">
      <c r="A155" s="231"/>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row>
    <row r="156" spans="1:24">
      <c r="A156" s="231"/>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row>
    <row r="157" spans="1:24">
      <c r="A157" s="231"/>
      <c r="B157" s="231"/>
      <c r="C157" s="231"/>
      <c r="D157" s="231"/>
      <c r="E157" s="231"/>
      <c r="F157" s="231"/>
      <c r="G157" s="231"/>
      <c r="H157" s="231"/>
      <c r="I157" s="231"/>
      <c r="J157" s="231"/>
      <c r="K157" s="231"/>
      <c r="L157" s="231"/>
      <c r="M157" s="231"/>
      <c r="N157" s="231"/>
      <c r="O157" s="231"/>
      <c r="P157" s="231"/>
      <c r="Q157" s="231"/>
      <c r="R157" s="231"/>
      <c r="S157" s="231"/>
      <c r="T157" s="231"/>
      <c r="U157" s="231"/>
      <c r="V157" s="231"/>
      <c r="W157" s="231"/>
      <c r="X157" s="231"/>
    </row>
    <row r="158" spans="1:24">
      <c r="A158" s="231"/>
      <c r="B158" s="231"/>
      <c r="C158" s="231"/>
      <c r="D158" s="231"/>
      <c r="E158" s="231"/>
      <c r="F158" s="231"/>
      <c r="G158" s="231"/>
      <c r="H158" s="231"/>
      <c r="I158" s="231"/>
      <c r="J158" s="231"/>
      <c r="K158" s="231"/>
      <c r="L158" s="231"/>
      <c r="M158" s="231"/>
      <c r="N158" s="231"/>
      <c r="O158" s="231"/>
      <c r="P158" s="231"/>
      <c r="Q158" s="231"/>
      <c r="R158" s="231"/>
      <c r="S158" s="231"/>
      <c r="T158" s="231"/>
      <c r="U158" s="231"/>
      <c r="V158" s="231"/>
      <c r="W158" s="231"/>
      <c r="X158" s="231"/>
    </row>
    <row r="159" spans="1:24">
      <c r="A159" s="231"/>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c r="X159" s="231"/>
    </row>
    <row r="160" spans="1:24">
      <c r="A160" s="231"/>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c r="X160" s="231"/>
    </row>
    <row r="161" spans="1:24">
      <c r="A161" s="231"/>
      <c r="B161" s="231"/>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row>
    <row r="162" spans="1:24">
      <c r="A162" s="231"/>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row>
    <row r="163" spans="1:24">
      <c r="A163" s="231"/>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1"/>
    </row>
    <row r="164" spans="1:24">
      <c r="A164" s="231"/>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1"/>
      <c r="X164" s="231"/>
    </row>
    <row r="165" spans="1:24">
      <c r="A165" s="231"/>
      <c r="B165" s="231"/>
      <c r="C165" s="231"/>
      <c r="D165" s="231"/>
      <c r="E165" s="231"/>
      <c r="F165" s="231"/>
      <c r="G165" s="231"/>
      <c r="H165" s="231"/>
      <c r="I165" s="231"/>
      <c r="J165" s="231"/>
      <c r="K165" s="231"/>
      <c r="L165" s="231"/>
      <c r="M165" s="231"/>
      <c r="N165" s="231"/>
      <c r="O165" s="231"/>
      <c r="P165" s="231"/>
      <c r="Q165" s="231"/>
      <c r="R165" s="231"/>
      <c r="S165" s="231"/>
      <c r="T165" s="231"/>
      <c r="U165" s="231"/>
      <c r="V165" s="231"/>
      <c r="W165" s="231"/>
      <c r="X165" s="231"/>
    </row>
    <row r="166" spans="1:24">
      <c r="A166" s="231"/>
      <c r="B166" s="231"/>
      <c r="C166" s="231"/>
      <c r="D166" s="231"/>
      <c r="E166" s="231"/>
      <c r="F166" s="231"/>
      <c r="G166" s="231"/>
      <c r="H166" s="231"/>
      <c r="I166" s="231"/>
      <c r="J166" s="231"/>
      <c r="K166" s="231"/>
      <c r="L166" s="231"/>
      <c r="M166" s="231"/>
      <c r="N166" s="231"/>
      <c r="O166" s="231"/>
      <c r="P166" s="231"/>
      <c r="Q166" s="231"/>
      <c r="R166" s="231"/>
      <c r="S166" s="231"/>
      <c r="T166" s="231"/>
      <c r="U166" s="231"/>
      <c r="V166" s="231"/>
      <c r="W166" s="231"/>
      <c r="X166" s="231"/>
    </row>
    <row r="167" spans="1:24">
      <c r="A167" s="231"/>
      <c r="B167" s="231"/>
      <c r="C167" s="231"/>
      <c r="D167" s="231"/>
      <c r="E167" s="231"/>
      <c r="F167" s="231"/>
      <c r="G167" s="231"/>
      <c r="H167" s="231"/>
      <c r="I167" s="231"/>
      <c r="J167" s="231"/>
      <c r="K167" s="231"/>
      <c r="L167" s="231"/>
      <c r="M167" s="231"/>
      <c r="N167" s="231"/>
      <c r="O167" s="231"/>
      <c r="P167" s="231"/>
      <c r="Q167" s="231"/>
      <c r="R167" s="231"/>
      <c r="S167" s="231"/>
      <c r="T167" s="231"/>
      <c r="U167" s="231"/>
      <c r="V167" s="231"/>
      <c r="W167" s="231"/>
      <c r="X167" s="231"/>
    </row>
    <row r="168" spans="1:24">
      <c r="A168" s="231"/>
      <c r="B168" s="231"/>
      <c r="C168" s="231"/>
      <c r="D168" s="231"/>
      <c r="E168" s="231"/>
      <c r="F168" s="231"/>
      <c r="G168" s="231"/>
      <c r="H168" s="231"/>
      <c r="I168" s="231"/>
      <c r="J168" s="231"/>
      <c r="K168" s="231"/>
      <c r="L168" s="231"/>
      <c r="M168" s="231"/>
      <c r="N168" s="231"/>
      <c r="O168" s="231"/>
      <c r="P168" s="231"/>
      <c r="Q168" s="231"/>
      <c r="R168" s="231"/>
      <c r="S168" s="231"/>
      <c r="T168" s="231"/>
      <c r="U168" s="231"/>
      <c r="V168" s="231"/>
      <c r="W168" s="231"/>
      <c r="X168" s="231"/>
    </row>
    <row r="169" spans="1:24">
      <c r="A169" s="231"/>
      <c r="B169" s="231"/>
      <c r="C169" s="231"/>
      <c r="D169" s="231"/>
      <c r="E169" s="231"/>
      <c r="F169" s="231"/>
      <c r="G169" s="231"/>
      <c r="H169" s="231"/>
      <c r="I169" s="231"/>
      <c r="J169" s="231"/>
      <c r="K169" s="231"/>
      <c r="L169" s="231"/>
      <c r="M169" s="231"/>
      <c r="N169" s="231"/>
      <c r="O169" s="231"/>
      <c r="P169" s="231"/>
      <c r="Q169" s="231"/>
      <c r="R169" s="231"/>
      <c r="S169" s="231"/>
      <c r="T169" s="231"/>
      <c r="U169" s="231"/>
      <c r="V169" s="231"/>
      <c r="W169" s="231"/>
      <c r="X169" s="231"/>
    </row>
    <row r="170" spans="1:24">
      <c r="A170" s="231"/>
      <c r="B170" s="231"/>
      <c r="C170" s="231"/>
      <c r="D170" s="231"/>
      <c r="E170" s="231"/>
      <c r="F170" s="231"/>
      <c r="G170" s="231"/>
      <c r="H170" s="231"/>
      <c r="I170" s="231"/>
      <c r="J170" s="231"/>
      <c r="K170" s="231"/>
      <c r="L170" s="231"/>
      <c r="M170" s="231"/>
      <c r="N170" s="231"/>
      <c r="O170" s="231"/>
      <c r="P170" s="231"/>
      <c r="Q170" s="231"/>
      <c r="R170" s="231"/>
      <c r="S170" s="231"/>
      <c r="T170" s="231"/>
      <c r="U170" s="231"/>
      <c r="V170" s="231"/>
      <c r="W170" s="231"/>
      <c r="X170" s="231"/>
    </row>
    <row r="171" spans="1:24">
      <c r="A171" s="231"/>
      <c r="B171" s="231"/>
      <c r="C171" s="231"/>
      <c r="D171" s="231"/>
      <c r="E171" s="231"/>
      <c r="F171" s="231"/>
      <c r="G171" s="231"/>
      <c r="H171" s="231"/>
      <c r="I171" s="231"/>
      <c r="J171" s="231"/>
      <c r="K171" s="231"/>
      <c r="L171" s="231"/>
      <c r="M171" s="231"/>
      <c r="N171" s="231"/>
      <c r="O171" s="231"/>
      <c r="P171" s="231"/>
      <c r="Q171" s="231"/>
      <c r="R171" s="231"/>
      <c r="S171" s="231"/>
      <c r="T171" s="231"/>
      <c r="U171" s="231"/>
      <c r="V171" s="231"/>
      <c r="W171" s="231"/>
      <c r="X171" s="231"/>
    </row>
    <row r="172" spans="1:24">
      <c r="A172" s="231"/>
      <c r="B172" s="231"/>
      <c r="C172" s="231"/>
      <c r="D172" s="231"/>
      <c r="E172" s="231"/>
      <c r="F172" s="231"/>
      <c r="G172" s="231"/>
      <c r="H172" s="231"/>
      <c r="I172" s="231"/>
      <c r="J172" s="231"/>
      <c r="K172" s="231"/>
      <c r="L172" s="231"/>
      <c r="M172" s="231"/>
      <c r="N172" s="231"/>
      <c r="O172" s="231"/>
      <c r="P172" s="231"/>
      <c r="Q172" s="231"/>
      <c r="R172" s="231"/>
      <c r="S172" s="231"/>
      <c r="T172" s="231"/>
      <c r="U172" s="231"/>
      <c r="V172" s="231"/>
      <c r="W172" s="231"/>
      <c r="X172" s="231"/>
    </row>
    <row r="173" spans="1:24">
      <c r="A173" s="231"/>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c r="X173" s="231"/>
    </row>
    <row r="174" spans="1:24">
      <c r="A174" s="231"/>
      <c r="B174" s="231"/>
      <c r="C174" s="231"/>
      <c r="D174" s="231"/>
      <c r="E174" s="231"/>
      <c r="F174" s="231"/>
      <c r="G174" s="231"/>
      <c r="H174" s="231"/>
      <c r="I174" s="231"/>
      <c r="J174" s="231"/>
      <c r="K174" s="231"/>
      <c r="L174" s="231"/>
      <c r="M174" s="231"/>
      <c r="N174" s="231"/>
      <c r="O174" s="231"/>
      <c r="P174" s="231"/>
      <c r="Q174" s="231"/>
      <c r="R174" s="231"/>
      <c r="S174" s="231"/>
      <c r="T174" s="231"/>
      <c r="U174" s="231"/>
      <c r="V174" s="231"/>
      <c r="W174" s="231"/>
      <c r="X174" s="231"/>
    </row>
    <row r="175" spans="1:24">
      <c r="A175" s="231"/>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row>
    <row r="176" spans="1:24">
      <c r="A176" s="231"/>
      <c r="B176" s="231"/>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row>
    <row r="177" spans="1:24">
      <c r="A177" s="231"/>
      <c r="B177" s="231"/>
      <c r="C177" s="231"/>
      <c r="D177" s="231"/>
      <c r="E177" s="231"/>
      <c r="F177" s="231"/>
      <c r="G177" s="231"/>
      <c r="H177" s="231"/>
      <c r="I177" s="231"/>
      <c r="J177" s="231"/>
      <c r="K177" s="231"/>
      <c r="L177" s="231"/>
      <c r="M177" s="231"/>
      <c r="N177" s="231"/>
      <c r="O177" s="231"/>
      <c r="P177" s="231"/>
      <c r="Q177" s="231"/>
      <c r="R177" s="231"/>
      <c r="S177" s="231"/>
      <c r="T177" s="231"/>
      <c r="U177" s="231"/>
      <c r="V177" s="231"/>
      <c r="W177" s="231"/>
      <c r="X177" s="231"/>
    </row>
    <row r="178" spans="1:24">
      <c r="A178" s="231"/>
      <c r="B178" s="231"/>
      <c r="C178" s="231"/>
      <c r="D178" s="231"/>
      <c r="E178" s="231"/>
      <c r="F178" s="231"/>
      <c r="G178" s="231"/>
      <c r="H178" s="231"/>
      <c r="I178" s="231"/>
      <c r="J178" s="231"/>
      <c r="K178" s="231"/>
      <c r="L178" s="231"/>
      <c r="M178" s="231"/>
      <c r="N178" s="231"/>
      <c r="O178" s="231"/>
      <c r="P178" s="231"/>
      <c r="Q178" s="231"/>
      <c r="R178" s="231"/>
      <c r="S178" s="231"/>
      <c r="T178" s="231"/>
      <c r="U178" s="231"/>
      <c r="V178" s="231"/>
      <c r="W178" s="231"/>
      <c r="X178" s="231"/>
    </row>
    <row r="179" spans="1:24">
      <c r="A179" s="231"/>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row>
    <row r="180" spans="1:24">
      <c r="A180" s="231"/>
      <c r="B180" s="231"/>
      <c r="C180" s="231"/>
      <c r="D180" s="231"/>
      <c r="E180" s="231"/>
      <c r="F180" s="231"/>
      <c r="G180" s="231"/>
      <c r="H180" s="231"/>
      <c r="I180" s="231"/>
      <c r="J180" s="231"/>
      <c r="K180" s="231"/>
      <c r="L180" s="231"/>
      <c r="M180" s="231"/>
      <c r="N180" s="231"/>
      <c r="O180" s="231"/>
      <c r="P180" s="231"/>
      <c r="Q180" s="231"/>
      <c r="R180" s="231"/>
      <c r="S180" s="231"/>
      <c r="T180" s="231"/>
      <c r="U180" s="231"/>
      <c r="V180" s="231"/>
      <c r="W180" s="231"/>
      <c r="X180" s="231"/>
    </row>
    <row r="181" spans="1:24">
      <c r="A181" s="231"/>
      <c r="B181" s="231"/>
      <c r="C181" s="231"/>
      <c r="D181" s="231"/>
      <c r="E181" s="231"/>
      <c r="F181" s="231"/>
      <c r="G181" s="231"/>
      <c r="H181" s="231"/>
      <c r="I181" s="231"/>
      <c r="J181" s="231"/>
      <c r="K181" s="231"/>
      <c r="L181" s="231"/>
      <c r="M181" s="231"/>
      <c r="N181" s="231"/>
      <c r="O181" s="231"/>
      <c r="P181" s="231"/>
      <c r="Q181" s="231"/>
      <c r="R181" s="231"/>
      <c r="S181" s="231"/>
      <c r="T181" s="231"/>
      <c r="U181" s="231"/>
      <c r="V181" s="231"/>
      <c r="W181" s="231"/>
      <c r="X181" s="231"/>
    </row>
    <row r="182" spans="1:24">
      <c r="A182" s="231"/>
      <c r="B182" s="231"/>
      <c r="C182" s="231"/>
      <c r="D182" s="231"/>
      <c r="E182" s="231"/>
      <c r="F182" s="231"/>
      <c r="G182" s="231"/>
      <c r="H182" s="231"/>
      <c r="I182" s="231"/>
      <c r="J182" s="231"/>
      <c r="K182" s="231"/>
      <c r="L182" s="231"/>
      <c r="M182" s="231"/>
      <c r="N182" s="231"/>
      <c r="O182" s="231"/>
      <c r="P182" s="231"/>
      <c r="Q182" s="231"/>
      <c r="R182" s="231"/>
      <c r="S182" s="231"/>
      <c r="T182" s="231"/>
      <c r="U182" s="231"/>
      <c r="V182" s="231"/>
      <c r="W182" s="231"/>
      <c r="X182" s="231"/>
    </row>
    <row r="183" spans="1:24">
      <c r="A183" s="231"/>
      <c r="B183" s="231"/>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row>
    <row r="184" spans="1:24">
      <c r="A184" s="231"/>
      <c r="B184" s="231"/>
      <c r="C184" s="231"/>
      <c r="D184" s="231"/>
      <c r="E184" s="231"/>
      <c r="F184" s="231"/>
      <c r="G184" s="231"/>
      <c r="H184" s="231"/>
      <c r="I184" s="231"/>
      <c r="J184" s="231"/>
      <c r="K184" s="231"/>
      <c r="L184" s="231"/>
      <c r="M184" s="231"/>
      <c r="N184" s="231"/>
      <c r="O184" s="231"/>
      <c r="P184" s="231"/>
      <c r="Q184" s="231"/>
      <c r="R184" s="231"/>
      <c r="S184" s="231"/>
      <c r="T184" s="231"/>
      <c r="U184" s="231"/>
      <c r="V184" s="231"/>
      <c r="W184" s="231"/>
      <c r="X184" s="231"/>
    </row>
    <row r="185" spans="1:24">
      <c r="A185" s="231"/>
      <c r="B185" s="231"/>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row>
    <row r="186" spans="1:24">
      <c r="A186" s="231"/>
      <c r="B186" s="231"/>
      <c r="C186" s="231"/>
      <c r="D186" s="231"/>
      <c r="E186" s="231"/>
      <c r="F186" s="231"/>
      <c r="G186" s="231"/>
      <c r="H186" s="231"/>
      <c r="I186" s="231"/>
      <c r="J186" s="231"/>
      <c r="K186" s="231"/>
      <c r="L186" s="231"/>
      <c r="M186" s="231"/>
      <c r="N186" s="231"/>
      <c r="O186" s="231"/>
      <c r="P186" s="231"/>
      <c r="Q186" s="231"/>
      <c r="R186" s="231"/>
      <c r="S186" s="231"/>
      <c r="T186" s="231"/>
      <c r="U186" s="231"/>
      <c r="V186" s="231"/>
      <c r="W186" s="231"/>
      <c r="X186" s="231"/>
    </row>
    <row r="187" spans="1:24">
      <c r="A187" s="231"/>
      <c r="B187" s="231"/>
      <c r="C187" s="231"/>
      <c r="D187" s="231"/>
      <c r="E187" s="231"/>
      <c r="F187" s="231"/>
      <c r="G187" s="231"/>
      <c r="H187" s="231"/>
      <c r="I187" s="231"/>
      <c r="J187" s="231"/>
      <c r="K187" s="231"/>
      <c r="L187" s="231"/>
      <c r="M187" s="231"/>
      <c r="N187" s="231"/>
      <c r="O187" s="231"/>
      <c r="P187" s="231"/>
      <c r="Q187" s="231"/>
      <c r="R187" s="231"/>
      <c r="S187" s="231"/>
      <c r="T187" s="231"/>
      <c r="U187" s="231"/>
      <c r="V187" s="231"/>
      <c r="W187" s="231"/>
      <c r="X187" s="231"/>
    </row>
    <row r="188" spans="1:24">
      <c r="A188" s="231"/>
      <c r="B188" s="231"/>
      <c r="C188" s="231"/>
      <c r="D188" s="231"/>
      <c r="E188" s="231"/>
      <c r="F188" s="231"/>
      <c r="G188" s="231"/>
      <c r="H188" s="231"/>
      <c r="I188" s="231"/>
      <c r="J188" s="231"/>
      <c r="K188" s="231"/>
      <c r="L188" s="231"/>
      <c r="M188" s="231"/>
      <c r="N188" s="231"/>
      <c r="O188" s="231"/>
      <c r="P188" s="231"/>
      <c r="Q188" s="231"/>
      <c r="R188" s="231"/>
      <c r="S188" s="231"/>
      <c r="T188" s="231"/>
      <c r="U188" s="231"/>
      <c r="V188" s="231"/>
      <c r="W188" s="231"/>
      <c r="X188" s="231"/>
    </row>
    <row r="189" spans="1:24">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row>
    <row r="190" spans="1:24">
      <c r="A190" s="231"/>
      <c r="B190" s="231"/>
      <c r="C190" s="231"/>
      <c r="D190" s="231"/>
      <c r="E190" s="231"/>
      <c r="F190" s="231"/>
      <c r="G190" s="231"/>
      <c r="H190" s="231"/>
      <c r="I190" s="231"/>
      <c r="J190" s="231"/>
      <c r="K190" s="231"/>
      <c r="L190" s="231"/>
      <c r="M190" s="231"/>
      <c r="N190" s="231"/>
      <c r="O190" s="231"/>
      <c r="P190" s="231"/>
      <c r="Q190" s="231"/>
      <c r="R190" s="231"/>
      <c r="S190" s="231"/>
      <c r="T190" s="231"/>
      <c r="U190" s="231"/>
      <c r="V190" s="231"/>
      <c r="W190" s="231"/>
      <c r="X190" s="231"/>
    </row>
    <row r="191" spans="1:24">
      <c r="A191" s="231"/>
      <c r="B191" s="231"/>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row>
    <row r="192" spans="1:24">
      <c r="A192" s="231"/>
      <c r="B192" s="231"/>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row>
    <row r="193" spans="1:24">
      <c r="A193" s="231"/>
      <c r="B193" s="231"/>
      <c r="C193" s="231"/>
      <c r="D193" s="231"/>
      <c r="E193" s="231"/>
      <c r="F193" s="231"/>
      <c r="G193" s="231"/>
      <c r="H193" s="231"/>
      <c r="I193" s="231"/>
      <c r="J193" s="231"/>
      <c r="K193" s="231"/>
      <c r="L193" s="231"/>
      <c r="M193" s="231"/>
      <c r="N193" s="231"/>
      <c r="O193" s="231"/>
      <c r="P193" s="231"/>
      <c r="Q193" s="231"/>
      <c r="R193" s="231"/>
      <c r="S193" s="231"/>
      <c r="T193" s="231"/>
      <c r="U193" s="231"/>
      <c r="V193" s="231"/>
      <c r="W193" s="231"/>
      <c r="X193" s="231"/>
    </row>
    <row r="194" spans="1:24">
      <c r="A194" s="231"/>
      <c r="B194" s="231"/>
      <c r="C194" s="231"/>
      <c r="D194" s="231"/>
      <c r="E194" s="231"/>
      <c r="F194" s="231"/>
      <c r="G194" s="231"/>
      <c r="H194" s="231"/>
      <c r="I194" s="231"/>
      <c r="J194" s="231"/>
      <c r="K194" s="231"/>
      <c r="L194" s="231"/>
      <c r="M194" s="231"/>
      <c r="N194" s="231"/>
      <c r="O194" s="231"/>
      <c r="P194" s="231"/>
      <c r="Q194" s="231"/>
      <c r="R194" s="231"/>
      <c r="S194" s="231"/>
      <c r="T194" s="231"/>
      <c r="U194" s="231"/>
      <c r="V194" s="231"/>
      <c r="W194" s="231"/>
      <c r="X194" s="231"/>
    </row>
    <row r="195" spans="1:24">
      <c r="A195" s="231"/>
      <c r="B195" s="231"/>
      <c r="C195" s="231"/>
      <c r="D195" s="231"/>
      <c r="E195" s="231"/>
      <c r="F195" s="231"/>
      <c r="G195" s="231"/>
      <c r="H195" s="231"/>
      <c r="I195" s="231"/>
      <c r="J195" s="231"/>
      <c r="K195" s="231"/>
      <c r="L195" s="231"/>
      <c r="M195" s="231"/>
      <c r="N195" s="231"/>
      <c r="O195" s="231"/>
      <c r="P195" s="231"/>
      <c r="Q195" s="231"/>
      <c r="R195" s="231"/>
      <c r="S195" s="231"/>
      <c r="T195" s="231"/>
      <c r="U195" s="231"/>
      <c r="V195" s="231"/>
      <c r="W195" s="231"/>
      <c r="X195" s="231"/>
    </row>
    <row r="196" spans="1:24">
      <c r="A196" s="231"/>
      <c r="B196" s="231"/>
      <c r="C196" s="231"/>
      <c r="D196" s="231"/>
      <c r="E196" s="231"/>
      <c r="F196" s="231"/>
      <c r="G196" s="231"/>
      <c r="H196" s="231"/>
      <c r="I196" s="231"/>
      <c r="J196" s="231"/>
      <c r="K196" s="231"/>
      <c r="L196" s="231"/>
      <c r="M196" s="231"/>
      <c r="N196" s="231"/>
      <c r="O196" s="231"/>
      <c r="P196" s="231"/>
      <c r="Q196" s="231"/>
      <c r="R196" s="231"/>
      <c r="S196" s="231"/>
      <c r="T196" s="231"/>
      <c r="U196" s="231"/>
      <c r="V196" s="231"/>
      <c r="W196" s="231"/>
      <c r="X196" s="231"/>
    </row>
    <row r="197" spans="1:24">
      <c r="A197" s="231"/>
      <c r="B197" s="231"/>
      <c r="C197" s="231"/>
      <c r="D197" s="231"/>
      <c r="E197" s="231"/>
      <c r="F197" s="231"/>
      <c r="G197" s="231"/>
      <c r="H197" s="231"/>
      <c r="I197" s="231"/>
      <c r="J197" s="231"/>
      <c r="K197" s="231"/>
      <c r="L197" s="231"/>
      <c r="M197" s="231"/>
      <c r="N197" s="231"/>
      <c r="O197" s="231"/>
      <c r="P197" s="231"/>
      <c r="Q197" s="231"/>
      <c r="R197" s="231"/>
      <c r="S197" s="231"/>
      <c r="T197" s="231"/>
      <c r="U197" s="231"/>
      <c r="V197" s="231"/>
      <c r="W197" s="231"/>
      <c r="X197" s="231"/>
    </row>
    <row r="198" spans="1:24">
      <c r="A198" s="231"/>
      <c r="B198" s="231"/>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row>
    <row r="199" spans="1:24">
      <c r="A199" s="231"/>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row>
    <row r="200" spans="1:24">
      <c r="A200" s="231"/>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row>
    <row r="201" spans="1:24">
      <c r="A201" s="231"/>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row>
    <row r="202" spans="1:24">
      <c r="A202" s="231"/>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row>
    <row r="203" spans="1:24">
      <c r="A203" s="231"/>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row>
    <row r="204" spans="1:24">
      <c r="A204" s="231"/>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row>
    <row r="205" spans="1:24">
      <c r="A205" s="231"/>
      <c r="B205" s="231"/>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row>
    <row r="206" spans="1:24">
      <c r="A206" s="231"/>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row>
    <row r="207" spans="1:24">
      <c r="A207" s="23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row>
    <row r="208" spans="1:24">
      <c r="A208" s="231"/>
      <c r="B208" s="231"/>
      <c r="C208" s="231"/>
      <c r="D208" s="231"/>
      <c r="E208" s="231"/>
      <c r="F208" s="231"/>
      <c r="G208" s="231"/>
      <c r="H208" s="231"/>
      <c r="I208" s="231"/>
      <c r="J208" s="231"/>
      <c r="K208" s="231"/>
      <c r="L208" s="231"/>
      <c r="M208" s="231"/>
      <c r="N208" s="231"/>
      <c r="O208" s="231"/>
      <c r="P208" s="231"/>
      <c r="Q208" s="231"/>
      <c r="R208" s="231"/>
      <c r="S208" s="231"/>
      <c r="T208" s="231"/>
      <c r="U208" s="231"/>
      <c r="V208" s="231"/>
      <c r="W208" s="231"/>
      <c r="X208" s="231"/>
    </row>
    <row r="209" spans="1:24">
      <c r="A209" s="23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row>
    <row r="210" spans="1:24">
      <c r="A210" s="23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row>
    <row r="211" spans="1:24">
      <c r="A211" s="23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row>
    <row r="212" spans="1:24">
      <c r="A212" s="23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row>
    <row r="213" spans="1:24">
      <c r="A213" s="23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row>
    <row r="214" spans="1:24">
      <c r="A214" s="231"/>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row>
    <row r="215" spans="1:24">
      <c r="A215" s="231"/>
      <c r="B215" s="231"/>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row>
    <row r="216" spans="1:24">
      <c r="A216" s="231"/>
      <c r="B216" s="231"/>
      <c r="C216" s="231"/>
      <c r="D216" s="231"/>
      <c r="E216" s="231"/>
      <c r="F216" s="231"/>
      <c r="G216" s="231"/>
      <c r="H216" s="231"/>
      <c r="I216" s="231"/>
      <c r="J216" s="231"/>
      <c r="K216" s="231"/>
      <c r="L216" s="231"/>
      <c r="M216" s="231"/>
      <c r="N216" s="231"/>
      <c r="O216" s="231"/>
      <c r="P216" s="231"/>
      <c r="Q216" s="231"/>
      <c r="R216" s="231"/>
      <c r="S216" s="231"/>
      <c r="T216" s="231"/>
      <c r="U216" s="231"/>
      <c r="V216" s="231"/>
      <c r="W216" s="231"/>
      <c r="X216" s="231"/>
    </row>
    <row r="217" spans="1:24">
      <c r="A217" s="231"/>
      <c r="B217" s="231"/>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row>
    <row r="218" spans="1:24">
      <c r="A218" s="23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row>
    <row r="219" spans="1:24">
      <c r="A219" s="23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row>
    <row r="220" spans="1:24">
      <c r="A220" s="231"/>
      <c r="B220" s="231"/>
      <c r="C220" s="231"/>
      <c r="D220" s="231"/>
      <c r="E220" s="231"/>
      <c r="F220" s="231"/>
      <c r="G220" s="231"/>
      <c r="H220" s="231"/>
      <c r="I220" s="231"/>
      <c r="J220" s="231"/>
      <c r="K220" s="231"/>
      <c r="L220" s="231"/>
      <c r="M220" s="231"/>
      <c r="N220" s="231"/>
      <c r="O220" s="231"/>
      <c r="P220" s="231"/>
      <c r="Q220" s="231"/>
      <c r="R220" s="231"/>
      <c r="S220" s="231"/>
      <c r="T220" s="231"/>
      <c r="U220" s="231"/>
      <c r="V220" s="231"/>
      <c r="W220" s="231"/>
      <c r="X220" s="231"/>
    </row>
    <row r="221" spans="1:24">
      <c r="A221" s="231"/>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row>
    <row r="222" spans="1:24">
      <c r="A222" s="231"/>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row>
    <row r="223" spans="1:24">
      <c r="A223" s="231"/>
      <c r="B223" s="231"/>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row>
    <row r="224" spans="1:24">
      <c r="A224" s="231"/>
      <c r="B224" s="231"/>
      <c r="C224" s="231"/>
      <c r="D224" s="231"/>
      <c r="E224" s="231"/>
      <c r="F224" s="231"/>
      <c r="G224" s="231"/>
      <c r="H224" s="231"/>
      <c r="I224" s="231"/>
      <c r="J224" s="231"/>
      <c r="K224" s="231"/>
      <c r="L224" s="231"/>
      <c r="M224" s="231"/>
      <c r="N224" s="231"/>
      <c r="O224" s="231"/>
      <c r="P224" s="231"/>
      <c r="Q224" s="231"/>
      <c r="R224" s="231"/>
      <c r="S224" s="231"/>
      <c r="T224" s="231"/>
      <c r="U224" s="231"/>
      <c r="V224" s="231"/>
      <c r="W224" s="231"/>
      <c r="X224" s="231"/>
    </row>
    <row r="225" spans="1:24">
      <c r="A225" s="231"/>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row>
    <row r="226" spans="1:24">
      <c r="A226" s="231"/>
      <c r="B226" s="231"/>
      <c r="C226" s="231"/>
      <c r="D226" s="231"/>
      <c r="E226" s="231"/>
      <c r="F226" s="231"/>
      <c r="G226" s="231"/>
      <c r="H226" s="231"/>
      <c r="I226" s="231"/>
      <c r="J226" s="231"/>
      <c r="K226" s="231"/>
      <c r="L226" s="231"/>
      <c r="M226" s="231"/>
      <c r="N226" s="231"/>
      <c r="O226" s="231"/>
      <c r="P226" s="231"/>
      <c r="Q226" s="231"/>
      <c r="R226" s="231"/>
      <c r="S226" s="231"/>
      <c r="T226" s="231"/>
      <c r="U226" s="231"/>
      <c r="V226" s="231"/>
      <c r="W226" s="231"/>
      <c r="X226" s="231"/>
    </row>
    <row r="227" spans="1:24">
      <c r="A227" s="231"/>
      <c r="B227" s="231"/>
      <c r="C227" s="231"/>
      <c r="D227" s="231"/>
      <c r="E227" s="231"/>
      <c r="F227" s="231"/>
      <c r="G227" s="231"/>
      <c r="H227" s="231"/>
      <c r="I227" s="231"/>
      <c r="J227" s="231"/>
      <c r="K227" s="231"/>
      <c r="L227" s="231"/>
      <c r="M227" s="231"/>
      <c r="N227" s="231"/>
      <c r="O227" s="231"/>
      <c r="P227" s="231"/>
      <c r="Q227" s="231"/>
      <c r="R227" s="231"/>
      <c r="S227" s="231"/>
      <c r="T227" s="231"/>
      <c r="U227" s="231"/>
      <c r="V227" s="231"/>
      <c r="W227" s="231"/>
      <c r="X227" s="231"/>
    </row>
    <row r="228" spans="1:24">
      <c r="A228" s="231"/>
      <c r="B228" s="231"/>
      <c r="C228" s="231"/>
      <c r="D228" s="231"/>
      <c r="E228" s="231"/>
      <c r="F228" s="231"/>
      <c r="G228" s="231"/>
      <c r="H228" s="231"/>
      <c r="I228" s="231"/>
      <c r="J228" s="231"/>
      <c r="K228" s="231"/>
      <c r="L228" s="231"/>
      <c r="M228" s="231"/>
      <c r="N228" s="231"/>
      <c r="O228" s="231"/>
      <c r="P228" s="231"/>
      <c r="Q228" s="231"/>
      <c r="R228" s="231"/>
      <c r="S228" s="231"/>
      <c r="T228" s="231"/>
      <c r="U228" s="231"/>
      <c r="V228" s="231"/>
      <c r="W228" s="231"/>
      <c r="X228" s="231"/>
    </row>
    <row r="229" spans="1:24">
      <c r="A229" s="231"/>
      <c r="B229" s="231"/>
      <c r="C229" s="231"/>
      <c r="D229" s="231"/>
      <c r="E229" s="231"/>
      <c r="F229" s="231"/>
      <c r="G229" s="231"/>
      <c r="H229" s="231"/>
      <c r="I229" s="231"/>
      <c r="J229" s="231"/>
      <c r="K229" s="231"/>
      <c r="L229" s="231"/>
      <c r="M229" s="231"/>
      <c r="N229" s="231"/>
      <c r="O229" s="231"/>
      <c r="P229" s="231"/>
      <c r="Q229" s="231"/>
      <c r="R229" s="231"/>
      <c r="S229" s="231"/>
      <c r="T229" s="231"/>
      <c r="U229" s="231"/>
      <c r="V229" s="231"/>
      <c r="W229" s="231"/>
      <c r="X229" s="231"/>
    </row>
    <row r="230" spans="1:24">
      <c r="A230" s="231"/>
      <c r="B230" s="23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row>
    <row r="231" spans="1:24">
      <c r="A231" s="231"/>
      <c r="B231" s="231"/>
      <c r="C231" s="231"/>
      <c r="D231" s="231"/>
      <c r="E231" s="231"/>
      <c r="F231" s="231"/>
      <c r="G231" s="231"/>
      <c r="H231" s="231"/>
      <c r="I231" s="231"/>
      <c r="J231" s="231"/>
      <c r="K231" s="231"/>
      <c r="L231" s="231"/>
      <c r="M231" s="231"/>
      <c r="N231" s="231"/>
      <c r="O231" s="231"/>
      <c r="P231" s="231"/>
      <c r="Q231" s="231"/>
      <c r="R231" s="231"/>
      <c r="S231" s="231"/>
      <c r="T231" s="231"/>
      <c r="U231" s="231"/>
      <c r="V231" s="231"/>
      <c r="W231" s="231"/>
      <c r="X231" s="231"/>
    </row>
    <row r="232" spans="1:24">
      <c r="A232" s="231"/>
      <c r="B232" s="231"/>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row>
    <row r="233" spans="1:24">
      <c r="A233" s="231"/>
      <c r="B233" s="231"/>
      <c r="C233" s="231"/>
      <c r="D233" s="231"/>
      <c r="E233" s="231"/>
      <c r="F233" s="231"/>
      <c r="G233" s="231"/>
      <c r="H233" s="231"/>
      <c r="I233" s="231"/>
      <c r="J233" s="231"/>
      <c r="K233" s="231"/>
      <c r="L233" s="231"/>
      <c r="M233" s="231"/>
      <c r="N233" s="231"/>
      <c r="O233" s="231"/>
      <c r="P233" s="231"/>
      <c r="Q233" s="231"/>
      <c r="R233" s="231"/>
      <c r="S233" s="231"/>
      <c r="T233" s="231"/>
      <c r="U233" s="231"/>
      <c r="V233" s="231"/>
      <c r="W233" s="231"/>
      <c r="X233" s="231"/>
    </row>
    <row r="234" spans="1:24">
      <c r="A234" s="231"/>
      <c r="B234" s="231"/>
      <c r="C234" s="231"/>
      <c r="D234" s="231"/>
      <c r="E234" s="231"/>
      <c r="F234" s="231"/>
      <c r="G234" s="231"/>
      <c r="H234" s="231"/>
      <c r="I234" s="231"/>
      <c r="J234" s="231"/>
      <c r="K234" s="231"/>
      <c r="L234" s="231"/>
      <c r="M234" s="231"/>
      <c r="N234" s="231"/>
      <c r="O234" s="231"/>
      <c r="P234" s="231"/>
      <c r="Q234" s="231"/>
      <c r="R234" s="231"/>
      <c r="S234" s="231"/>
      <c r="T234" s="231"/>
      <c r="U234" s="231"/>
      <c r="V234" s="231"/>
      <c r="W234" s="231"/>
      <c r="X234" s="231"/>
    </row>
    <row r="235" spans="1:24">
      <c r="A235" s="231"/>
      <c r="B235" s="231"/>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row>
    <row r="236" spans="1:24">
      <c r="A236" s="231"/>
      <c r="B236" s="231"/>
      <c r="C236" s="231"/>
      <c r="D236" s="231"/>
      <c r="E236" s="231"/>
      <c r="F236" s="231"/>
      <c r="G236" s="231"/>
      <c r="H236" s="231"/>
      <c r="I236" s="231"/>
      <c r="J236" s="231"/>
      <c r="K236" s="231"/>
      <c r="L236" s="231"/>
      <c r="M236" s="231"/>
      <c r="N236" s="231"/>
      <c r="O236" s="231"/>
      <c r="P236" s="231"/>
      <c r="Q236" s="231"/>
      <c r="R236" s="231"/>
      <c r="S236" s="231"/>
      <c r="T236" s="231"/>
      <c r="U236" s="231"/>
      <c r="V236" s="231"/>
      <c r="W236" s="231"/>
      <c r="X236" s="231"/>
    </row>
    <row r="237" spans="1:24">
      <c r="A237" s="231"/>
      <c r="B237" s="231"/>
      <c r="C237" s="231"/>
      <c r="D237" s="231"/>
      <c r="E237" s="231"/>
      <c r="F237" s="231"/>
      <c r="G237" s="231"/>
      <c r="H237" s="231"/>
      <c r="I237" s="231"/>
      <c r="J237" s="231"/>
      <c r="K237" s="231"/>
      <c r="L237" s="231"/>
      <c r="M237" s="231"/>
      <c r="N237" s="231"/>
      <c r="O237" s="231"/>
      <c r="P237" s="231"/>
      <c r="Q237" s="231"/>
      <c r="R237" s="231"/>
      <c r="S237" s="231"/>
      <c r="T237" s="231"/>
      <c r="U237" s="231"/>
      <c r="V237" s="231"/>
      <c r="W237" s="231"/>
      <c r="X237" s="231"/>
    </row>
    <row r="238" spans="1:24">
      <c r="A238" s="231"/>
      <c r="B238" s="231"/>
      <c r="C238" s="231"/>
      <c r="D238" s="231"/>
      <c r="E238" s="231"/>
      <c r="F238" s="231"/>
      <c r="G238" s="231"/>
      <c r="H238" s="231"/>
      <c r="I238" s="231"/>
      <c r="J238" s="231"/>
      <c r="K238" s="231"/>
      <c r="L238" s="231"/>
      <c r="M238" s="231"/>
      <c r="N238" s="231"/>
      <c r="O238" s="231"/>
      <c r="P238" s="231"/>
      <c r="Q238" s="231"/>
      <c r="R238" s="231"/>
      <c r="S238" s="231"/>
      <c r="T238" s="231"/>
      <c r="U238" s="231"/>
      <c r="V238" s="231"/>
      <c r="W238" s="231"/>
      <c r="X238" s="231"/>
    </row>
    <row r="239" spans="1:24">
      <c r="A239" s="231"/>
      <c r="B239" s="231"/>
      <c r="C239" s="231"/>
      <c r="D239" s="231"/>
      <c r="E239" s="231"/>
      <c r="F239" s="231"/>
      <c r="G239" s="231"/>
      <c r="H239" s="231"/>
      <c r="I239" s="231"/>
      <c r="J239" s="231"/>
      <c r="K239" s="231"/>
      <c r="L239" s="231"/>
      <c r="M239" s="231"/>
      <c r="N239" s="231"/>
      <c r="O239" s="231"/>
      <c r="P239" s="231"/>
      <c r="Q239" s="231"/>
      <c r="R239" s="231"/>
      <c r="S239" s="231"/>
      <c r="T239" s="231"/>
      <c r="U239" s="231"/>
      <c r="V239" s="231"/>
      <c r="W239" s="231"/>
      <c r="X239" s="231"/>
    </row>
    <row r="240" spans="1:24">
      <c r="A240" s="231"/>
      <c r="B240" s="231"/>
      <c r="C240" s="231"/>
      <c r="D240" s="231"/>
      <c r="E240" s="231"/>
      <c r="F240" s="231"/>
      <c r="G240" s="231"/>
      <c r="H240" s="231"/>
      <c r="I240" s="231"/>
      <c r="J240" s="231"/>
      <c r="K240" s="231"/>
      <c r="L240" s="231"/>
      <c r="M240" s="231"/>
      <c r="N240" s="231"/>
      <c r="O240" s="231"/>
      <c r="P240" s="231"/>
      <c r="Q240" s="231"/>
      <c r="R240" s="231"/>
      <c r="S240" s="231"/>
      <c r="T240" s="231"/>
      <c r="U240" s="231"/>
      <c r="V240" s="231"/>
      <c r="W240" s="231"/>
      <c r="X240" s="231"/>
    </row>
    <row r="241" spans="1:24">
      <c r="A241" s="231"/>
      <c r="B241" s="231"/>
      <c r="C241" s="231"/>
      <c r="D241" s="231"/>
      <c r="E241" s="231"/>
      <c r="F241" s="231"/>
      <c r="G241" s="231"/>
      <c r="H241" s="231"/>
      <c r="I241" s="231"/>
      <c r="J241" s="231"/>
      <c r="K241" s="231"/>
      <c r="L241" s="231"/>
      <c r="M241" s="231"/>
      <c r="N241" s="231"/>
      <c r="O241" s="231"/>
      <c r="P241" s="231"/>
      <c r="Q241" s="231"/>
      <c r="R241" s="231"/>
      <c r="S241" s="231"/>
      <c r="T241" s="231"/>
      <c r="U241" s="231"/>
      <c r="V241" s="231"/>
      <c r="W241" s="231"/>
      <c r="X241" s="231"/>
    </row>
    <row r="242" spans="1:24">
      <c r="A242" s="231"/>
      <c r="B242" s="231"/>
      <c r="C242" s="231"/>
      <c r="D242" s="231"/>
      <c r="E242" s="231"/>
      <c r="F242" s="231"/>
      <c r="G242" s="231"/>
      <c r="H242" s="231"/>
      <c r="I242" s="231"/>
      <c r="J242" s="231"/>
      <c r="K242" s="231"/>
      <c r="L242" s="231"/>
      <c r="M242" s="231"/>
      <c r="N242" s="231"/>
      <c r="O242" s="231"/>
      <c r="P242" s="231"/>
      <c r="Q242" s="231"/>
      <c r="R242" s="231"/>
      <c r="S242" s="231"/>
      <c r="T242" s="231"/>
      <c r="U242" s="231"/>
      <c r="V242" s="231"/>
      <c r="W242" s="231"/>
      <c r="X242" s="231"/>
    </row>
    <row r="243" spans="1:24">
      <c r="A243" s="231"/>
      <c r="B243" s="231"/>
      <c r="C243" s="231"/>
      <c r="D243" s="231"/>
      <c r="E243" s="231"/>
      <c r="F243" s="231"/>
      <c r="G243" s="231"/>
      <c r="H243" s="231"/>
      <c r="I243" s="231"/>
      <c r="J243" s="231"/>
      <c r="K243" s="231"/>
      <c r="L243" s="231"/>
      <c r="M243" s="231"/>
      <c r="N243" s="231"/>
      <c r="O243" s="231"/>
      <c r="P243" s="231"/>
      <c r="Q243" s="231"/>
      <c r="R243" s="231"/>
      <c r="S243" s="231"/>
      <c r="T243" s="231"/>
      <c r="U243" s="231"/>
      <c r="V243" s="231"/>
      <c r="W243" s="231"/>
      <c r="X243" s="231"/>
    </row>
    <row r="244" spans="1:24">
      <c r="A244" s="231"/>
      <c r="B244" s="231"/>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row>
    <row r="245" spans="1:24">
      <c r="A245" s="262"/>
      <c r="B245" s="262"/>
      <c r="C245" s="262"/>
      <c r="D245" s="262"/>
      <c r="E245" s="262"/>
      <c r="F245" s="262"/>
      <c r="G245" s="262"/>
      <c r="H245" s="262"/>
      <c r="I245" s="262"/>
      <c r="J245" s="262"/>
      <c r="K245" s="262"/>
      <c r="L245" s="262"/>
      <c r="M245" s="262"/>
      <c r="N245" s="262"/>
      <c r="O245" s="262"/>
      <c r="P245" s="262"/>
      <c r="Q245" s="262"/>
      <c r="R245" s="262"/>
      <c r="S245" s="231"/>
      <c r="T245" s="231"/>
      <c r="U245" s="231"/>
      <c r="V245" s="231"/>
      <c r="W245" s="231"/>
      <c r="X245" s="231"/>
    </row>
    <row r="246" spans="1:24">
      <c r="A246" s="262"/>
      <c r="B246" s="262"/>
      <c r="C246" s="262"/>
      <c r="D246" s="262"/>
      <c r="E246" s="262"/>
      <c r="F246" s="262"/>
      <c r="G246" s="262"/>
      <c r="H246" s="262"/>
      <c r="I246" s="262"/>
      <c r="J246" s="262"/>
      <c r="K246" s="262"/>
      <c r="L246" s="262"/>
      <c r="M246" s="262"/>
      <c r="N246" s="262"/>
      <c r="O246" s="262"/>
      <c r="P246" s="262"/>
      <c r="Q246" s="262"/>
      <c r="R246" s="262"/>
      <c r="S246" s="231"/>
      <c r="T246" s="231"/>
      <c r="U246" s="231"/>
      <c r="V246" s="231"/>
      <c r="W246" s="231"/>
      <c r="X246" s="231"/>
    </row>
  </sheetData>
  <mergeCells count="15">
    <mergeCell ref="F25:G25"/>
    <mergeCell ref="F26:G26"/>
    <mergeCell ref="F27:G27"/>
    <mergeCell ref="K14:M14"/>
    <mergeCell ref="C18:M18"/>
    <mergeCell ref="F21:G21"/>
    <mergeCell ref="F22:G22"/>
    <mergeCell ref="F23:G23"/>
    <mergeCell ref="F24:G24"/>
    <mergeCell ref="I21:K21"/>
    <mergeCell ref="I22:K22"/>
    <mergeCell ref="I23:K23"/>
    <mergeCell ref="I20:K20"/>
    <mergeCell ref="E20:G20"/>
    <mergeCell ref="K16:M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81"/>
  <sheetViews>
    <sheetView workbookViewId="0">
      <selection activeCell="N34" sqref="N34"/>
    </sheetView>
  </sheetViews>
  <sheetFormatPr baseColWidth="10" defaultRowHeight="12.75"/>
  <cols>
    <col min="4" max="4" width="13.85546875" customWidth="1"/>
  </cols>
  <sheetData>
    <row r="1" spans="1:25">
      <c r="A1" s="231"/>
      <c r="B1" s="231"/>
      <c r="C1" s="231"/>
      <c r="D1" s="231"/>
      <c r="E1" s="231"/>
      <c r="F1" s="231"/>
      <c r="G1" s="231"/>
      <c r="H1" s="231"/>
      <c r="I1" s="231"/>
      <c r="J1" s="231"/>
      <c r="K1" s="231"/>
      <c r="L1" s="231"/>
      <c r="M1" s="231"/>
      <c r="N1" s="231"/>
      <c r="O1" s="231"/>
      <c r="P1" s="231"/>
      <c r="Q1" s="231"/>
      <c r="R1" s="231"/>
      <c r="S1" s="231"/>
      <c r="T1" s="231"/>
      <c r="U1" s="231"/>
      <c r="V1" s="231"/>
      <c r="W1" s="231"/>
      <c r="X1" s="231"/>
      <c r="Y1" s="231"/>
    </row>
    <row r="2" spans="1:25">
      <c r="A2" s="231"/>
      <c r="B2" s="231"/>
      <c r="C2" s="231"/>
      <c r="D2" s="231"/>
      <c r="E2" s="231"/>
      <c r="F2" s="231"/>
      <c r="G2" s="231"/>
      <c r="H2" s="231"/>
      <c r="I2" s="231"/>
      <c r="J2" s="231"/>
      <c r="K2" s="231"/>
      <c r="L2" s="231"/>
      <c r="M2" s="231"/>
      <c r="N2" s="231"/>
      <c r="O2" s="231"/>
      <c r="P2" s="231"/>
      <c r="Q2" s="231"/>
      <c r="R2" s="231"/>
      <c r="S2" s="231"/>
      <c r="T2" s="231"/>
      <c r="U2" s="231"/>
      <c r="V2" s="231"/>
      <c r="W2" s="231"/>
      <c r="X2" s="231"/>
      <c r="Y2" s="231"/>
    </row>
    <row r="3" spans="1:25">
      <c r="A3" s="231"/>
      <c r="B3" s="231"/>
      <c r="C3" s="231"/>
      <c r="D3" s="231"/>
      <c r="E3" s="231"/>
      <c r="F3" s="231"/>
      <c r="G3" s="231"/>
      <c r="H3" s="231"/>
      <c r="I3" s="231"/>
      <c r="J3" s="231"/>
      <c r="K3" s="231"/>
      <c r="L3" s="231"/>
      <c r="M3" s="231"/>
      <c r="N3" s="231"/>
      <c r="O3" s="231"/>
      <c r="P3" s="231"/>
      <c r="Q3" s="231"/>
      <c r="R3" s="231"/>
      <c r="S3" s="231"/>
      <c r="T3" s="231"/>
      <c r="U3" s="231"/>
      <c r="V3" s="231"/>
      <c r="W3" s="231"/>
      <c r="X3" s="231"/>
      <c r="Y3" s="231"/>
    </row>
    <row r="4" spans="1:25">
      <c r="A4" s="231"/>
      <c r="B4" s="231"/>
      <c r="C4" s="231"/>
      <c r="D4" s="231"/>
      <c r="E4" s="231"/>
      <c r="F4" s="231"/>
      <c r="G4" s="231"/>
      <c r="H4" s="231"/>
      <c r="I4" s="231"/>
      <c r="J4" s="231"/>
      <c r="K4" s="231"/>
      <c r="L4" s="231"/>
      <c r="M4" s="231"/>
      <c r="N4" s="231"/>
      <c r="O4" s="231"/>
      <c r="P4" s="231"/>
      <c r="Q4" s="231"/>
      <c r="R4" s="231"/>
      <c r="S4" s="231"/>
      <c r="T4" s="231"/>
      <c r="U4" s="231"/>
      <c r="V4" s="231"/>
      <c r="W4" s="231"/>
      <c r="X4" s="231"/>
      <c r="Y4" s="231"/>
    </row>
    <row r="5" spans="1:25">
      <c r="A5" s="231"/>
      <c r="B5" s="231"/>
      <c r="C5" s="231"/>
      <c r="D5" s="231"/>
      <c r="E5" s="231"/>
      <c r="F5" s="231"/>
      <c r="G5" s="231"/>
      <c r="H5" s="231"/>
      <c r="I5" s="231"/>
      <c r="J5" s="231"/>
      <c r="K5" s="231"/>
      <c r="L5" s="231"/>
      <c r="M5" s="231"/>
      <c r="N5" s="231"/>
      <c r="O5" s="231"/>
      <c r="P5" s="231"/>
      <c r="Q5" s="231"/>
      <c r="R5" s="231"/>
      <c r="S5" s="231"/>
      <c r="T5" s="231"/>
      <c r="U5" s="231"/>
      <c r="V5" s="231"/>
      <c r="W5" s="231"/>
      <c r="X5" s="231"/>
      <c r="Y5" s="231"/>
    </row>
    <row r="6" spans="1:25">
      <c r="A6" s="231"/>
      <c r="B6" s="231"/>
      <c r="C6" s="231"/>
      <c r="D6" s="231"/>
      <c r="E6" s="231"/>
      <c r="F6" s="231"/>
      <c r="G6" s="231"/>
      <c r="H6" s="231"/>
      <c r="I6" s="231"/>
      <c r="J6" s="231"/>
      <c r="K6" s="231"/>
      <c r="L6" s="231"/>
      <c r="M6" s="231"/>
      <c r="N6" s="231"/>
      <c r="O6" s="231"/>
      <c r="P6" s="231"/>
      <c r="Q6" s="231"/>
      <c r="R6" s="231"/>
      <c r="S6" s="231"/>
      <c r="T6" s="231"/>
      <c r="U6" s="231"/>
      <c r="V6" s="231"/>
      <c r="W6" s="231"/>
      <c r="X6" s="231"/>
      <c r="Y6" s="231"/>
    </row>
    <row r="7" spans="1:25">
      <c r="A7" s="231"/>
      <c r="B7" s="231"/>
      <c r="C7" s="231"/>
      <c r="D7" s="231"/>
      <c r="E7" s="231"/>
      <c r="F7" s="231"/>
      <c r="G7" s="231"/>
      <c r="H7" s="231"/>
      <c r="I7" s="231"/>
      <c r="J7" s="231"/>
      <c r="K7" s="231"/>
      <c r="L7" s="231"/>
      <c r="M7" s="231"/>
      <c r="N7" s="231"/>
      <c r="O7" s="231"/>
      <c r="P7" s="231"/>
      <c r="Q7" s="231"/>
      <c r="R7" s="231"/>
      <c r="S7" s="231"/>
      <c r="T7" s="231"/>
      <c r="U7" s="231"/>
      <c r="V7" s="231"/>
      <c r="W7" s="231"/>
      <c r="X7" s="231"/>
      <c r="Y7" s="231"/>
    </row>
    <row r="8" spans="1:25">
      <c r="A8" s="231"/>
      <c r="B8" s="231"/>
      <c r="C8" s="231"/>
      <c r="D8" s="231"/>
      <c r="E8" s="231"/>
      <c r="F8" s="231"/>
      <c r="G8" s="231"/>
      <c r="H8" s="231"/>
      <c r="I8" s="231"/>
      <c r="J8" s="231"/>
      <c r="K8" s="231"/>
      <c r="L8" s="231"/>
      <c r="M8" s="231"/>
      <c r="N8" s="231"/>
      <c r="O8" s="231"/>
      <c r="P8" s="231"/>
      <c r="Q8" s="231"/>
      <c r="R8" s="231"/>
      <c r="S8" s="231"/>
      <c r="T8" s="231"/>
      <c r="U8" s="231"/>
      <c r="V8" s="231"/>
      <c r="W8" s="231"/>
      <c r="X8" s="231"/>
      <c r="Y8" s="231"/>
    </row>
    <row r="9" spans="1:25">
      <c r="A9" s="231"/>
      <c r="B9" s="231"/>
      <c r="C9" s="231"/>
      <c r="D9" s="231"/>
      <c r="E9" s="231"/>
      <c r="F9" s="231"/>
      <c r="G9" s="231"/>
      <c r="H9" s="231"/>
      <c r="I9" s="231"/>
      <c r="J9" s="231"/>
      <c r="K9" s="231"/>
      <c r="L9" s="231"/>
      <c r="M9" s="231"/>
      <c r="N9" s="231"/>
      <c r="O9" s="231"/>
      <c r="P9" s="231"/>
      <c r="Q9" s="231"/>
      <c r="R9" s="231"/>
      <c r="S9" s="231"/>
      <c r="T9" s="231"/>
      <c r="U9" s="231"/>
      <c r="V9" s="231"/>
      <c r="W9" s="231"/>
      <c r="X9" s="231"/>
      <c r="Y9" s="231"/>
    </row>
    <row r="10" spans="1:25">
      <c r="A10" s="231"/>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row>
    <row r="11" spans="1:25">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row>
    <row r="12" spans="1:25">
      <c r="A12" s="231"/>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row>
    <row r="13" spans="1:25">
      <c r="A13" s="231"/>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row>
    <row r="14" spans="1:25">
      <c r="A14" s="184"/>
      <c r="B14" s="232"/>
      <c r="C14" s="233"/>
      <c r="D14" s="233"/>
      <c r="E14" s="233"/>
      <c r="F14" s="233"/>
      <c r="G14" s="233"/>
      <c r="H14" s="233"/>
      <c r="I14" s="233"/>
      <c r="J14" s="233"/>
      <c r="K14" s="233"/>
      <c r="L14" s="233"/>
      <c r="M14" s="233"/>
      <c r="N14" s="233"/>
      <c r="O14" s="234"/>
      <c r="P14" s="231"/>
      <c r="Q14" s="231"/>
      <c r="R14" s="231"/>
      <c r="S14" s="231"/>
      <c r="T14" s="231"/>
      <c r="U14" s="231"/>
      <c r="V14" s="231"/>
      <c r="W14" s="231"/>
      <c r="X14" s="231"/>
      <c r="Y14" s="231"/>
    </row>
    <row r="15" spans="1:25" ht="15">
      <c r="A15" s="184"/>
      <c r="B15" s="235"/>
      <c r="C15" s="182"/>
      <c r="D15" s="182" t="s">
        <v>202</v>
      </c>
      <c r="E15" s="588" t="str">
        <f>Consumos!D15</f>
        <v>HOUSING</v>
      </c>
      <c r="F15" s="588"/>
      <c r="G15" s="588"/>
      <c r="H15" s="182"/>
      <c r="I15" s="182" t="s">
        <v>204</v>
      </c>
      <c r="J15" s="586" t="str">
        <f>Consumos!H15</f>
        <v>POLAND</v>
      </c>
      <c r="K15" s="586"/>
      <c r="L15" s="586"/>
      <c r="M15" s="586"/>
      <c r="N15" s="236"/>
      <c r="O15" s="237"/>
      <c r="P15" s="231"/>
      <c r="Q15" s="231"/>
      <c r="R15" s="408"/>
      <c r="S15" s="408"/>
      <c r="T15" s="408"/>
      <c r="U15" s="408"/>
      <c r="V15" s="408"/>
      <c r="W15" s="408"/>
      <c r="X15" s="408"/>
      <c r="Y15" s="408"/>
    </row>
    <row r="16" spans="1:25">
      <c r="A16" s="184"/>
      <c r="B16" s="235"/>
      <c r="C16" s="184"/>
      <c r="D16" s="184"/>
      <c r="E16" s="184"/>
      <c r="F16" s="184"/>
      <c r="G16" s="184"/>
      <c r="H16" s="184"/>
      <c r="I16" s="184"/>
      <c r="J16" s="184"/>
      <c r="K16" s="184"/>
      <c r="L16" s="184"/>
      <c r="M16" s="184"/>
      <c r="N16" s="184"/>
      <c r="O16" s="185"/>
      <c r="P16" s="231"/>
      <c r="Q16" s="231"/>
      <c r="R16" s="408"/>
      <c r="S16" s="408"/>
      <c r="T16" s="408"/>
      <c r="U16" s="408"/>
      <c r="V16" s="408"/>
      <c r="W16" s="408"/>
      <c r="X16" s="408"/>
      <c r="Y16" s="408"/>
    </row>
    <row r="17" spans="1:25" ht="15">
      <c r="A17" s="184"/>
      <c r="B17" s="235"/>
      <c r="C17" s="238"/>
      <c r="D17" s="182" t="s">
        <v>203</v>
      </c>
      <c r="E17" s="587" t="str">
        <f>Consumos!D17</f>
        <v>VIPSKILLS</v>
      </c>
      <c r="F17" s="587"/>
      <c r="G17" s="587"/>
      <c r="H17" s="182"/>
      <c r="I17" s="182" t="s">
        <v>205</v>
      </c>
      <c r="J17" s="586">
        <f>Consumos!H17</f>
        <v>43285</v>
      </c>
      <c r="K17" s="586"/>
      <c r="L17" s="586"/>
      <c r="M17" s="586"/>
      <c r="N17" s="236"/>
      <c r="O17" s="237"/>
      <c r="P17" s="231"/>
      <c r="Q17" s="231"/>
      <c r="R17" s="408"/>
      <c r="S17" s="408"/>
      <c r="T17" s="408"/>
      <c r="U17" s="408"/>
      <c r="V17" s="408"/>
      <c r="W17" s="408"/>
      <c r="X17" s="408"/>
      <c r="Y17" s="408"/>
    </row>
    <row r="18" spans="1:25" ht="20.25">
      <c r="A18" s="184"/>
      <c r="B18" s="235"/>
      <c r="C18" s="238"/>
      <c r="D18" s="239"/>
      <c r="E18" s="188"/>
      <c r="F18" s="188"/>
      <c r="G18" s="188"/>
      <c r="H18" s="188"/>
      <c r="I18" s="188"/>
      <c r="J18" s="188"/>
      <c r="K18" s="188"/>
      <c r="L18" s="188"/>
      <c r="M18" s="188"/>
      <c r="N18" s="236"/>
      <c r="O18" s="237"/>
      <c r="P18" s="231"/>
      <c r="Q18" s="231"/>
      <c r="R18" s="408"/>
      <c r="S18" s="408"/>
      <c r="T18" s="408"/>
      <c r="U18" s="408"/>
      <c r="V18" s="408"/>
      <c r="W18" s="408"/>
      <c r="X18" s="408"/>
      <c r="Y18" s="408"/>
    </row>
    <row r="19" spans="1:25" ht="20.25">
      <c r="A19" s="184"/>
      <c r="B19" s="235"/>
      <c r="C19" s="562" t="s">
        <v>284</v>
      </c>
      <c r="D19" s="562"/>
      <c r="E19" s="562"/>
      <c r="F19" s="562"/>
      <c r="G19" s="562"/>
      <c r="H19" s="562"/>
      <c r="I19" s="562"/>
      <c r="J19" s="562"/>
      <c r="K19" s="562"/>
      <c r="L19" s="562"/>
      <c r="M19" s="562"/>
      <c r="N19" s="562"/>
      <c r="O19" s="185"/>
      <c r="P19" s="231"/>
      <c r="Q19" s="231"/>
      <c r="R19" s="408"/>
      <c r="S19" s="408"/>
      <c r="T19" s="408"/>
      <c r="U19" s="408"/>
      <c r="V19" s="408"/>
      <c r="W19" s="408"/>
      <c r="X19" s="408"/>
      <c r="Y19" s="408"/>
    </row>
    <row r="20" spans="1:25" ht="20.25">
      <c r="A20" s="184"/>
      <c r="B20" s="235"/>
      <c r="C20" s="240"/>
      <c r="D20" s="188"/>
      <c r="E20" s="188"/>
      <c r="F20" s="188"/>
      <c r="G20" s="184"/>
      <c r="H20" s="184"/>
      <c r="I20" s="184"/>
      <c r="J20" s="184"/>
      <c r="K20" s="184"/>
      <c r="L20" s="184"/>
      <c r="M20" s="184"/>
      <c r="N20" s="184"/>
      <c r="O20" s="185"/>
      <c r="P20" s="231"/>
      <c r="Q20" s="231"/>
      <c r="R20" s="408"/>
      <c r="S20" s="408"/>
      <c r="T20" s="408"/>
      <c r="U20" s="408"/>
      <c r="V20" s="408"/>
      <c r="W20" s="408"/>
      <c r="X20" s="408"/>
      <c r="Y20" s="408"/>
    </row>
    <row r="21" spans="1:25" ht="13.5" thickBot="1">
      <c r="A21" s="184"/>
      <c r="B21" s="235"/>
      <c r="C21" s="184"/>
      <c r="D21" s="241"/>
      <c r="E21" s="241"/>
      <c r="F21" s="184"/>
      <c r="G21" s="184"/>
      <c r="H21" s="184"/>
      <c r="I21" s="184"/>
      <c r="J21" s="184"/>
      <c r="K21" s="184"/>
      <c r="L21" s="184"/>
      <c r="M21" s="184"/>
      <c r="N21" s="184"/>
      <c r="O21" s="185"/>
      <c r="P21" s="231"/>
      <c r="Q21" s="231"/>
      <c r="R21" s="408"/>
      <c r="S21" s="408"/>
      <c r="T21" s="408"/>
      <c r="U21" s="408"/>
      <c r="V21" s="408"/>
      <c r="W21" s="408"/>
      <c r="X21" s="408"/>
      <c r="Y21" s="408"/>
    </row>
    <row r="22" spans="1:25" ht="19.5" thickBot="1">
      <c r="A22" s="184"/>
      <c r="B22" s="235"/>
      <c r="C22" s="184"/>
      <c r="D22" s="589" t="s">
        <v>285</v>
      </c>
      <c r="E22" s="590"/>
      <c r="F22" s="590"/>
      <c r="G22" s="591"/>
      <c r="H22" s="184"/>
      <c r="I22" s="184"/>
      <c r="J22" s="184"/>
      <c r="K22" s="184"/>
      <c r="L22" s="184"/>
      <c r="M22" s="184"/>
      <c r="N22" s="184"/>
      <c r="O22" s="185"/>
      <c r="P22" s="231"/>
      <c r="Q22" s="231"/>
      <c r="R22" s="408"/>
      <c r="S22" s="408"/>
      <c r="T22" s="408"/>
      <c r="U22" s="408"/>
      <c r="V22" s="408"/>
      <c r="W22" s="408"/>
      <c r="X22" s="408"/>
      <c r="Y22" s="408"/>
    </row>
    <row r="23" spans="1:25" ht="30">
      <c r="A23" s="184"/>
      <c r="B23" s="235"/>
      <c r="C23" s="184"/>
      <c r="D23" s="244" t="s">
        <v>286</v>
      </c>
      <c r="E23" s="469"/>
      <c r="F23" s="470"/>
      <c r="G23" s="470"/>
      <c r="H23" s="243"/>
      <c r="I23" s="184"/>
      <c r="J23" s="184"/>
      <c r="K23" s="184"/>
      <c r="L23" s="184"/>
      <c r="M23" s="184"/>
      <c r="N23" s="184"/>
      <c r="O23" s="185"/>
      <c r="P23" s="231"/>
      <c r="Q23" s="231"/>
      <c r="R23" s="408"/>
      <c r="S23" s="408"/>
      <c r="T23" s="408"/>
      <c r="U23" s="408"/>
      <c r="V23" s="408"/>
      <c r="W23" s="408"/>
      <c r="X23" s="408"/>
      <c r="Y23" s="408"/>
    </row>
    <row r="24" spans="1:25" ht="15">
      <c r="A24" s="184"/>
      <c r="B24" s="235"/>
      <c r="C24" s="184"/>
      <c r="D24" s="242" t="s">
        <v>287</v>
      </c>
      <c r="E24" s="467"/>
      <c r="F24" s="468"/>
      <c r="G24" s="468"/>
      <c r="H24" s="243"/>
      <c r="I24" s="184"/>
      <c r="J24" s="184"/>
      <c r="K24" s="184"/>
      <c r="L24" s="184"/>
      <c r="M24" s="184"/>
      <c r="N24" s="184"/>
      <c r="O24" s="185"/>
      <c r="P24" s="231"/>
      <c r="Q24" s="231"/>
      <c r="R24" s="408"/>
      <c r="S24" s="408"/>
      <c r="T24" s="408"/>
      <c r="U24" s="408"/>
      <c r="V24" s="408"/>
      <c r="W24" s="408"/>
      <c r="X24" s="408"/>
      <c r="Y24" s="408"/>
    </row>
    <row r="25" spans="1:25" ht="15">
      <c r="A25" s="184"/>
      <c r="B25" s="235"/>
      <c r="C25" s="184"/>
      <c r="D25" s="244" t="s">
        <v>288</v>
      </c>
      <c r="E25" s="468">
        <v>70</v>
      </c>
      <c r="F25" s="468"/>
      <c r="G25" s="468"/>
      <c r="H25" s="243"/>
      <c r="I25" s="184"/>
      <c r="J25" s="184"/>
      <c r="K25" s="184"/>
      <c r="L25" s="184"/>
      <c r="M25" s="184"/>
      <c r="N25" s="184"/>
      <c r="O25" s="185"/>
      <c r="P25" s="231"/>
      <c r="Q25" s="231"/>
      <c r="R25" s="408"/>
      <c r="S25" s="408"/>
      <c r="T25" s="408"/>
      <c r="U25" s="408"/>
      <c r="V25" s="408"/>
      <c r="W25" s="408"/>
      <c r="X25" s="408"/>
      <c r="Y25" s="408"/>
    </row>
    <row r="26" spans="1:25" ht="15">
      <c r="A26" s="184"/>
      <c r="B26" s="235"/>
      <c r="C26" s="184"/>
      <c r="D26" s="242" t="s">
        <v>60</v>
      </c>
      <c r="E26" s="218">
        <v>17.399999999999999</v>
      </c>
      <c r="F26" s="245" t="s">
        <v>62</v>
      </c>
      <c r="G26" s="228">
        <v>21.7</v>
      </c>
      <c r="H26" s="243"/>
      <c r="I26" s="184"/>
      <c r="J26" s="184"/>
      <c r="K26" s="184"/>
      <c r="L26" s="184"/>
      <c r="M26" s="184"/>
      <c r="N26" s="184"/>
      <c r="O26" s="185"/>
      <c r="P26" s="231"/>
      <c r="Q26" s="231"/>
      <c r="R26" s="408"/>
      <c r="S26" s="408"/>
      <c r="T26" s="408"/>
      <c r="U26" s="408"/>
      <c r="V26" s="408"/>
      <c r="W26" s="408"/>
      <c r="X26" s="408"/>
      <c r="Y26" s="408"/>
    </row>
    <row r="27" spans="1:25" ht="15">
      <c r="A27" s="184"/>
      <c r="B27" s="235"/>
      <c r="C27" s="184"/>
      <c r="D27" s="244" t="s">
        <v>61</v>
      </c>
      <c r="E27" s="218">
        <v>4.1399999999999997</v>
      </c>
      <c r="F27" s="246" t="s">
        <v>63</v>
      </c>
      <c r="G27" s="228">
        <v>5.01</v>
      </c>
      <c r="H27" s="243"/>
      <c r="I27" s="184"/>
      <c r="J27" s="184"/>
      <c r="K27" s="184"/>
      <c r="L27" s="184"/>
      <c r="M27" s="184"/>
      <c r="N27" s="184"/>
      <c r="O27" s="185"/>
      <c r="P27" s="231"/>
      <c r="Q27" s="231"/>
      <c r="R27" s="408"/>
      <c r="S27" s="408"/>
      <c r="T27" s="408"/>
      <c r="U27" s="408"/>
      <c r="V27" s="408"/>
      <c r="W27" s="408"/>
      <c r="X27" s="408"/>
      <c r="Y27" s="408"/>
    </row>
    <row r="28" spans="1:25">
      <c r="A28" s="184"/>
      <c r="B28" s="235"/>
      <c r="C28" s="184"/>
      <c r="D28" s="184"/>
      <c r="E28" s="184"/>
      <c r="F28" s="184"/>
      <c r="G28" s="184"/>
      <c r="H28" s="184"/>
      <c r="I28" s="184"/>
      <c r="J28" s="184"/>
      <c r="K28" s="184"/>
      <c r="L28" s="184"/>
      <c r="M28" s="184"/>
      <c r="N28" s="184"/>
      <c r="O28" s="185"/>
      <c r="P28" s="231"/>
      <c r="Q28" s="231"/>
      <c r="R28" s="408"/>
      <c r="S28" s="408"/>
      <c r="T28" s="408"/>
      <c r="U28" s="408"/>
      <c r="V28" s="408"/>
      <c r="W28" s="408"/>
      <c r="X28" s="408"/>
      <c r="Y28" s="408"/>
    </row>
    <row r="29" spans="1:25">
      <c r="A29" s="184"/>
      <c r="B29" s="235"/>
      <c r="C29" s="184"/>
      <c r="D29" s="184"/>
      <c r="E29" s="184"/>
      <c r="F29" s="184"/>
      <c r="G29" s="184"/>
      <c r="H29" s="184"/>
      <c r="I29" s="184"/>
      <c r="J29" s="184"/>
      <c r="K29" s="184"/>
      <c r="L29" s="184"/>
      <c r="M29" s="184"/>
      <c r="N29" s="184"/>
      <c r="O29" s="185"/>
      <c r="P29" s="231"/>
      <c r="Q29" s="231"/>
      <c r="R29" s="408"/>
      <c r="S29" s="408"/>
      <c r="T29" s="408"/>
      <c r="U29" s="408"/>
      <c r="V29" s="408"/>
      <c r="W29" s="408"/>
      <c r="X29" s="408"/>
      <c r="Y29" s="408"/>
    </row>
    <row r="30" spans="1:25" ht="51">
      <c r="A30" s="184"/>
      <c r="B30" s="235"/>
      <c r="C30" s="184"/>
      <c r="D30" s="247" t="s">
        <v>289</v>
      </c>
      <c r="E30" s="248" t="s">
        <v>290</v>
      </c>
      <c r="F30" s="249" t="s">
        <v>291</v>
      </c>
      <c r="G30" s="250" t="s">
        <v>292</v>
      </c>
      <c r="H30" s="251" t="s">
        <v>293</v>
      </c>
      <c r="I30" s="251" t="s">
        <v>294</v>
      </c>
      <c r="J30" s="248" t="s">
        <v>295</v>
      </c>
      <c r="K30" s="248" t="s">
        <v>296</v>
      </c>
      <c r="L30" s="251" t="s">
        <v>297</v>
      </c>
      <c r="M30" s="184"/>
      <c r="N30" s="184"/>
      <c r="O30" s="185"/>
      <c r="P30" s="231"/>
      <c r="Q30" s="279"/>
      <c r="R30" s="409"/>
      <c r="S30" s="409"/>
      <c r="T30" s="409"/>
      <c r="U30" s="409"/>
      <c r="V30" s="409"/>
      <c r="W30" s="409"/>
      <c r="X30" s="409"/>
      <c r="Y30" s="408"/>
    </row>
    <row r="31" spans="1:25" ht="15.75">
      <c r="A31" s="184"/>
      <c r="B31" s="235"/>
      <c r="C31" s="184"/>
      <c r="D31" s="28">
        <f>'Ángulo de Inclinación'!S33</f>
        <v>19.453162944599075</v>
      </c>
      <c r="E31" s="229">
        <v>0.95</v>
      </c>
      <c r="F31" s="28">
        <f>D31/E31</f>
        <v>20.477013625893765</v>
      </c>
      <c r="G31" s="28">
        <f>E27</f>
        <v>4.1399999999999997</v>
      </c>
      <c r="H31" s="37">
        <f>ROUNDUP(F31/G31,0)</f>
        <v>5</v>
      </c>
      <c r="I31" s="37">
        <f>ROUNDUP(C34/E26,0)</f>
        <v>13</v>
      </c>
      <c r="J31" s="230">
        <v>1</v>
      </c>
      <c r="K31" s="230">
        <v>1</v>
      </c>
      <c r="L31" s="56">
        <f>G34*E25</f>
        <v>70</v>
      </c>
      <c r="M31" s="184"/>
      <c r="N31" s="184"/>
      <c r="O31" s="185"/>
      <c r="P31" s="231"/>
      <c r="Q31" s="279"/>
      <c r="R31" s="409"/>
      <c r="S31" s="409"/>
      <c r="T31" s="409"/>
      <c r="U31" s="409"/>
      <c r="V31" s="409"/>
      <c r="W31" s="409"/>
      <c r="X31" s="409"/>
      <c r="Y31" s="408"/>
    </row>
    <row r="32" spans="1:25">
      <c r="A32" s="184"/>
      <c r="B32" s="235"/>
      <c r="C32" s="184"/>
      <c r="D32" s="184"/>
      <c r="E32" s="184"/>
      <c r="F32" s="184"/>
      <c r="G32" s="184"/>
      <c r="H32" s="184"/>
      <c r="I32" s="252"/>
      <c r="J32" s="184"/>
      <c r="K32" s="252"/>
      <c r="L32" s="184"/>
      <c r="M32" s="184"/>
      <c r="N32" s="184"/>
      <c r="O32" s="185"/>
      <c r="P32" s="231"/>
      <c r="Q32" s="279"/>
      <c r="R32" s="409"/>
      <c r="S32" s="409"/>
      <c r="T32" s="409"/>
      <c r="U32" s="409"/>
      <c r="V32" s="409"/>
      <c r="W32" s="409"/>
      <c r="X32" s="409"/>
      <c r="Y32" s="408"/>
    </row>
    <row r="33" spans="1:25" ht="51">
      <c r="A33" s="184"/>
      <c r="B33" s="235"/>
      <c r="C33" s="247" t="s">
        <v>298</v>
      </c>
      <c r="D33" s="249" t="s">
        <v>299</v>
      </c>
      <c r="E33" s="253" t="s">
        <v>300</v>
      </c>
      <c r="F33" s="253" t="s">
        <v>301</v>
      </c>
      <c r="G33" s="254" t="s">
        <v>302</v>
      </c>
      <c r="H33" s="255" t="s">
        <v>303</v>
      </c>
      <c r="I33" s="249" t="s">
        <v>305</v>
      </c>
      <c r="J33" s="249" t="s">
        <v>304</v>
      </c>
      <c r="K33" s="248" t="s">
        <v>306</v>
      </c>
      <c r="L33" s="249" t="s">
        <v>307</v>
      </c>
      <c r="M33" s="256"/>
      <c r="N33" s="257" t="s">
        <v>308</v>
      </c>
      <c r="O33" s="185"/>
      <c r="P33" s="231"/>
      <c r="Q33" s="279"/>
      <c r="R33" s="410">
        <f>Baterías!G38</f>
        <v>420</v>
      </c>
      <c r="S33" s="411">
        <f>'Ángulo de Inclinación'!R33</f>
        <v>6.098612103838045</v>
      </c>
      <c r="T33" s="409" t="e">
        <f>(1/SQRT(5))*((((1+SQRT(5))/2)^S34)-(((1-SQRT(5))/2)^S34))</f>
        <v>#REF!</v>
      </c>
      <c r="U33" s="409" t="e">
        <f>R33/(S33*T33)</f>
        <v>#REF!</v>
      </c>
      <c r="V33" s="412">
        <f>'Ángulo de Inclinación'!S33</f>
        <v>19.453162944599075</v>
      </c>
      <c r="W33" s="412" t="e">
        <f>V33-U33</f>
        <v>#REF!</v>
      </c>
      <c r="X33" s="409"/>
      <c r="Y33" s="408"/>
    </row>
    <row r="34" spans="1:25" ht="15.75">
      <c r="A34" s="184"/>
      <c r="B34" s="235"/>
      <c r="C34" s="37">
        <f>IF('Ángulo de Inclinación'!O24=2,'Ángulo de Inclinación'!#REF!,Consumos!F46)</f>
        <v>220</v>
      </c>
      <c r="D34" s="28">
        <v>12</v>
      </c>
      <c r="E34" s="43">
        <f>J31</f>
        <v>1</v>
      </c>
      <c r="F34" s="43">
        <f>K31</f>
        <v>1</v>
      </c>
      <c r="G34" s="43">
        <f>E34*F34</f>
        <v>1</v>
      </c>
      <c r="H34" s="28">
        <f>G26*F34</f>
        <v>21.7</v>
      </c>
      <c r="I34" s="28">
        <f>IF(Baterías!F25&lt;3,(PV!C34/2)*Baterías!F25,Baterías!F25*PV!F34)</f>
        <v>0</v>
      </c>
      <c r="J34" s="28">
        <f>IF(Baterías!F26&lt;3,(PV!C34/2)*Baterías!F26,Baterías!F26*PV!F34)</f>
        <v>0</v>
      </c>
      <c r="K34" s="151">
        <v>20</v>
      </c>
      <c r="L34" s="28">
        <f>K34+((47-20)/800)*900</f>
        <v>50.375</v>
      </c>
      <c r="M34" s="27">
        <f>(((L34-25)*0.5)*H34)/100</f>
        <v>2.7531874999999997</v>
      </c>
      <c r="N34" s="37">
        <f>H34-M34</f>
        <v>18.9468125</v>
      </c>
      <c r="O34" s="185"/>
      <c r="P34" s="231"/>
      <c r="Q34" s="279"/>
      <c r="R34" s="409"/>
      <c r="S34" s="409" t="e">
        <f>IF(#REF!=1,7,IF(#REF!=2,8,IF(#REF!=3,9,IF(#REF!=4,10,IF(#REF!=5,11,"")))))</f>
        <v>#REF!</v>
      </c>
      <c r="T34" s="409"/>
      <c r="U34" s="409"/>
      <c r="V34" s="409"/>
      <c r="W34" s="409"/>
      <c r="X34" s="409"/>
      <c r="Y34" s="408"/>
    </row>
    <row r="35" spans="1:25">
      <c r="A35" s="184"/>
      <c r="B35" s="235"/>
      <c r="C35" s="184"/>
      <c r="D35" s="184"/>
      <c r="E35" s="184"/>
      <c r="F35" s="184"/>
      <c r="G35" s="184"/>
      <c r="H35" s="184"/>
      <c r="I35" s="184"/>
      <c r="J35" s="184"/>
      <c r="K35" s="184"/>
      <c r="L35" s="184"/>
      <c r="M35" s="184"/>
      <c r="N35" s="184"/>
      <c r="O35" s="185"/>
      <c r="P35" s="231"/>
      <c r="Q35" s="231"/>
      <c r="R35" s="408"/>
      <c r="S35" s="408"/>
      <c r="T35" s="408"/>
      <c r="U35" s="408"/>
      <c r="V35" s="408"/>
      <c r="W35" s="408"/>
      <c r="X35" s="408"/>
      <c r="Y35" s="408"/>
    </row>
    <row r="36" spans="1:25">
      <c r="A36" s="184"/>
      <c r="B36" s="235"/>
      <c r="C36" s="184"/>
      <c r="D36" s="184"/>
      <c r="E36" s="184"/>
      <c r="F36" s="184"/>
      <c r="G36" s="184"/>
      <c r="H36" s="184"/>
      <c r="I36" s="184"/>
      <c r="J36" s="184"/>
      <c r="K36" s="184"/>
      <c r="L36" s="184"/>
      <c r="M36" s="184"/>
      <c r="N36" s="184"/>
      <c r="O36" s="185"/>
      <c r="P36" s="231"/>
      <c r="Q36" s="231"/>
      <c r="R36" s="408"/>
      <c r="S36" s="408"/>
      <c r="T36" s="408"/>
      <c r="U36" s="408"/>
      <c r="V36" s="408"/>
      <c r="W36" s="408"/>
    </row>
    <row r="37" spans="1:25">
      <c r="A37" s="184"/>
      <c r="B37" s="235"/>
      <c r="C37" s="184"/>
      <c r="D37" s="184"/>
      <c r="E37" s="184"/>
      <c r="F37" s="184"/>
      <c r="G37" s="184"/>
      <c r="H37" s="184"/>
      <c r="I37" s="184"/>
      <c r="J37" s="184"/>
      <c r="K37" s="184"/>
      <c r="L37" s="184"/>
      <c r="M37" s="184"/>
      <c r="N37" s="184"/>
      <c r="O37" s="185"/>
      <c r="P37" s="231"/>
      <c r="Q37" s="231"/>
      <c r="R37" s="408"/>
      <c r="S37" s="408"/>
      <c r="T37" s="408"/>
      <c r="U37" s="408"/>
      <c r="V37" s="408"/>
      <c r="W37" s="408"/>
    </row>
    <row r="38" spans="1:25">
      <c r="A38" s="184"/>
      <c r="B38" s="235"/>
      <c r="C38" s="184"/>
      <c r="D38" s="184"/>
      <c r="E38" s="184"/>
      <c r="F38" s="184"/>
      <c r="G38" s="184"/>
      <c r="H38" s="184"/>
      <c r="I38" s="184"/>
      <c r="J38" s="184"/>
      <c r="K38" s="184"/>
      <c r="L38" s="184"/>
      <c r="M38" s="184"/>
      <c r="N38" s="184"/>
      <c r="O38" s="185"/>
      <c r="P38" s="231"/>
      <c r="Q38" s="231"/>
      <c r="R38" s="408"/>
      <c r="S38" s="408"/>
      <c r="T38" s="408"/>
      <c r="U38" s="408"/>
      <c r="V38" s="408"/>
      <c r="W38" s="408"/>
    </row>
    <row r="39" spans="1:25">
      <c r="A39" s="184"/>
      <c r="B39" s="258"/>
      <c r="C39" s="259"/>
      <c r="D39" s="259"/>
      <c r="E39" s="259"/>
      <c r="F39" s="259"/>
      <c r="G39" s="259"/>
      <c r="H39" s="259"/>
      <c r="I39" s="259"/>
      <c r="J39" s="259"/>
      <c r="K39" s="259"/>
      <c r="L39" s="259"/>
      <c r="M39" s="259"/>
      <c r="N39" s="259"/>
      <c r="O39" s="260"/>
      <c r="P39" s="231"/>
      <c r="Q39" s="231"/>
      <c r="R39" s="408"/>
      <c r="S39" s="408"/>
      <c r="T39" s="408"/>
      <c r="U39" s="408"/>
      <c r="V39" s="408"/>
      <c r="W39" s="408"/>
    </row>
    <row r="40" spans="1:25">
      <c r="A40" s="184"/>
      <c r="B40" s="184"/>
      <c r="C40" s="231"/>
      <c r="D40" s="231"/>
      <c r="E40" s="231"/>
      <c r="F40" s="231"/>
      <c r="G40" s="231"/>
      <c r="H40" s="231"/>
      <c r="I40" s="231"/>
      <c r="J40" s="231"/>
      <c r="K40" s="231"/>
      <c r="L40" s="231"/>
      <c r="M40" s="231"/>
      <c r="N40" s="231"/>
      <c r="O40" s="231"/>
      <c r="P40" s="231"/>
      <c r="Q40" s="231"/>
      <c r="R40" s="408"/>
      <c r="S40" s="408"/>
      <c r="T40" s="408"/>
      <c r="U40" s="408"/>
      <c r="V40" s="408"/>
      <c r="W40" s="408"/>
    </row>
    <row r="41" spans="1:25">
      <c r="A41" s="184"/>
      <c r="B41" s="184"/>
      <c r="C41" s="231"/>
      <c r="D41" s="231"/>
      <c r="E41" s="231"/>
      <c r="F41" s="231"/>
      <c r="G41" s="231"/>
      <c r="H41" s="231"/>
      <c r="I41" s="231"/>
      <c r="J41" s="231"/>
      <c r="K41" s="231"/>
      <c r="L41" s="231"/>
      <c r="M41" s="231"/>
      <c r="N41" s="231"/>
      <c r="O41" s="231"/>
      <c r="P41" s="231"/>
      <c r="Q41" s="231"/>
      <c r="R41" s="408"/>
      <c r="S41" s="408"/>
      <c r="T41" s="408"/>
      <c r="U41" s="408"/>
      <c r="V41" s="408"/>
      <c r="W41" s="408"/>
    </row>
    <row r="42" spans="1:25">
      <c r="A42" s="231"/>
      <c r="B42" s="231"/>
      <c r="C42" s="231"/>
      <c r="D42" s="231"/>
      <c r="E42" s="231"/>
      <c r="F42" s="231"/>
      <c r="G42" s="231"/>
      <c r="H42" s="231"/>
      <c r="I42" s="231"/>
      <c r="J42" s="231"/>
      <c r="K42" s="231"/>
      <c r="L42" s="231"/>
      <c r="M42" s="231"/>
      <c r="N42" s="231"/>
      <c r="O42" s="231"/>
      <c r="P42" s="231"/>
      <c r="Q42" s="231"/>
      <c r="R42" s="408"/>
      <c r="S42" s="408"/>
      <c r="T42" s="408"/>
      <c r="U42" s="408"/>
      <c r="V42" s="408"/>
      <c r="W42" s="408"/>
    </row>
    <row r="43" spans="1:25">
      <c r="A43" s="231"/>
      <c r="B43" s="231"/>
      <c r="C43" s="231"/>
      <c r="D43" s="231"/>
      <c r="E43" s="231"/>
      <c r="F43" s="231"/>
      <c r="G43" s="231"/>
      <c r="H43" s="231"/>
      <c r="I43" s="231"/>
      <c r="J43" s="231"/>
      <c r="K43" s="231"/>
      <c r="L43" s="231"/>
      <c r="M43" s="231"/>
      <c r="N43" s="231"/>
      <c r="O43" s="231"/>
      <c r="P43" s="231"/>
      <c r="Q43" s="231"/>
      <c r="R43" s="408"/>
      <c r="S43" s="408"/>
      <c r="T43" s="408"/>
      <c r="U43" s="408"/>
      <c r="V43" s="408"/>
      <c r="W43" s="408"/>
    </row>
    <row r="44" spans="1:25">
      <c r="A44" s="231"/>
      <c r="B44" s="231"/>
      <c r="C44" s="231"/>
      <c r="D44" s="231"/>
      <c r="E44" s="231"/>
      <c r="F44" s="231"/>
      <c r="G44" s="231"/>
      <c r="H44" s="231"/>
      <c r="I44" s="231"/>
      <c r="J44" s="231"/>
      <c r="K44" s="231"/>
      <c r="L44" s="231"/>
      <c r="M44" s="231"/>
      <c r="N44" s="231"/>
      <c r="O44" s="231"/>
      <c r="P44" s="231"/>
      <c r="Q44" s="231"/>
      <c r="R44" s="231"/>
      <c r="S44" s="231"/>
      <c r="T44" s="231"/>
      <c r="U44" s="231"/>
      <c r="V44" s="231"/>
      <c r="W44" s="231"/>
    </row>
    <row r="45" spans="1:25">
      <c r="A45" s="231"/>
      <c r="B45" s="231"/>
      <c r="C45" s="231"/>
      <c r="D45" s="231"/>
      <c r="E45" s="231"/>
      <c r="F45" s="231"/>
      <c r="G45" s="231"/>
      <c r="H45" s="231"/>
      <c r="I45" s="231"/>
      <c r="J45" s="231"/>
      <c r="K45" s="231"/>
      <c r="L45" s="231"/>
      <c r="M45" s="231"/>
      <c r="N45" s="231"/>
      <c r="O45" s="231"/>
      <c r="P45" s="231"/>
      <c r="Q45" s="231"/>
      <c r="R45" s="231"/>
      <c r="S45" s="231"/>
      <c r="T45" s="231"/>
      <c r="U45" s="231"/>
      <c r="V45" s="231"/>
      <c r="W45" s="231"/>
    </row>
    <row r="46" spans="1:25">
      <c r="A46" s="231"/>
      <c r="B46" s="231"/>
      <c r="C46" s="231"/>
      <c r="D46" s="231"/>
      <c r="E46" s="231"/>
      <c r="F46" s="231"/>
      <c r="G46" s="231"/>
      <c r="H46" s="231"/>
      <c r="I46" s="231"/>
      <c r="J46" s="231"/>
      <c r="K46" s="231"/>
      <c r="L46" s="231"/>
      <c r="M46" s="231"/>
      <c r="N46" s="231"/>
      <c r="O46" s="231"/>
      <c r="P46" s="231"/>
      <c r="Q46" s="231"/>
      <c r="R46" s="231"/>
      <c r="S46" s="231"/>
      <c r="T46" s="231"/>
      <c r="U46" s="231"/>
      <c r="V46" s="231"/>
      <c r="W46" s="231"/>
    </row>
    <row r="47" spans="1:25">
      <c r="A47" s="231"/>
      <c r="B47" s="231"/>
      <c r="C47" s="231"/>
      <c r="D47" s="231"/>
      <c r="E47" s="231"/>
      <c r="F47" s="231"/>
      <c r="G47" s="231"/>
      <c r="H47" s="231"/>
      <c r="I47" s="231"/>
      <c r="J47" s="231"/>
      <c r="K47" s="231"/>
      <c r="L47" s="231"/>
      <c r="M47" s="231"/>
      <c r="N47" s="231"/>
      <c r="O47" s="231"/>
      <c r="P47" s="231"/>
      <c r="Q47" s="231"/>
      <c r="R47" s="231"/>
      <c r="S47" s="231"/>
      <c r="T47" s="231"/>
      <c r="U47" s="231"/>
      <c r="V47" s="231"/>
      <c r="W47" s="231"/>
    </row>
    <row r="48" spans="1:25">
      <c r="A48" s="231"/>
      <c r="B48" s="231"/>
      <c r="C48" s="231"/>
      <c r="D48" s="231"/>
      <c r="E48" s="231"/>
      <c r="F48" s="231"/>
      <c r="G48" s="231"/>
      <c r="H48" s="231"/>
      <c r="I48" s="231"/>
      <c r="J48" s="231"/>
      <c r="K48" s="231"/>
      <c r="L48" s="231"/>
      <c r="M48" s="231"/>
      <c r="N48" s="231"/>
      <c r="O48" s="231"/>
      <c r="P48" s="231"/>
      <c r="Q48" s="231"/>
      <c r="R48" s="231"/>
      <c r="S48" s="231"/>
      <c r="T48" s="231"/>
      <c r="U48" s="231"/>
      <c r="V48" s="231"/>
      <c r="W48" s="231"/>
    </row>
    <row r="49" spans="1:23">
      <c r="A49" s="231"/>
      <c r="B49" s="231"/>
      <c r="C49" s="231"/>
      <c r="D49" s="231"/>
      <c r="E49" s="231"/>
      <c r="F49" s="231"/>
      <c r="G49" s="231"/>
      <c r="H49" s="231"/>
      <c r="I49" s="231"/>
      <c r="J49" s="231"/>
      <c r="K49" s="231"/>
      <c r="L49" s="231"/>
      <c r="M49" s="231"/>
      <c r="N49" s="231"/>
      <c r="O49" s="231"/>
      <c r="P49" s="231"/>
      <c r="Q49" s="231"/>
      <c r="R49" s="231"/>
      <c r="S49" s="231"/>
      <c r="T49" s="231"/>
      <c r="U49" s="231"/>
      <c r="V49" s="231"/>
      <c r="W49" s="231"/>
    </row>
    <row r="50" spans="1:23">
      <c r="A50" s="231"/>
      <c r="B50" s="231"/>
      <c r="C50" s="231"/>
      <c r="D50" s="231"/>
      <c r="E50" s="231"/>
      <c r="F50" s="231"/>
      <c r="G50" s="231"/>
      <c r="H50" s="231"/>
      <c r="I50" s="231"/>
      <c r="J50" s="231"/>
      <c r="K50" s="231"/>
      <c r="L50" s="231"/>
      <c r="M50" s="231"/>
      <c r="N50" s="231"/>
      <c r="O50" s="231"/>
      <c r="P50" s="231"/>
      <c r="Q50" s="231"/>
      <c r="R50" s="231"/>
      <c r="S50" s="231"/>
      <c r="T50" s="231"/>
      <c r="U50" s="231"/>
      <c r="V50" s="231"/>
      <c r="W50" s="231"/>
    </row>
    <row r="51" spans="1:23">
      <c r="A51" s="231"/>
      <c r="B51" s="231"/>
      <c r="C51" s="231"/>
      <c r="D51" s="231"/>
      <c r="E51" s="231"/>
      <c r="F51" s="231"/>
      <c r="G51" s="231"/>
      <c r="H51" s="231"/>
      <c r="I51" s="231"/>
      <c r="J51" s="231"/>
      <c r="K51" s="231"/>
      <c r="L51" s="231"/>
      <c r="M51" s="231"/>
      <c r="N51" s="231"/>
      <c r="O51" s="231"/>
      <c r="P51" s="231"/>
      <c r="Q51" s="231"/>
      <c r="R51" s="231"/>
      <c r="S51" s="231"/>
      <c r="T51" s="231"/>
      <c r="U51" s="231"/>
      <c r="V51" s="231"/>
      <c r="W51" s="231"/>
    </row>
    <row r="52" spans="1:23">
      <c r="A52" s="231"/>
      <c r="B52" s="231"/>
      <c r="C52" s="231"/>
      <c r="D52" s="231"/>
      <c r="E52" s="231"/>
      <c r="F52" s="231"/>
      <c r="G52" s="231"/>
      <c r="H52" s="231"/>
      <c r="I52" s="231"/>
      <c r="J52" s="231"/>
      <c r="K52" s="231"/>
      <c r="L52" s="231"/>
      <c r="M52" s="231"/>
      <c r="N52" s="231"/>
      <c r="O52" s="231"/>
      <c r="P52" s="231"/>
      <c r="Q52" s="231"/>
      <c r="R52" s="231"/>
      <c r="S52" s="231"/>
      <c r="T52" s="231"/>
      <c r="U52" s="231"/>
      <c r="V52" s="231"/>
      <c r="W52" s="231"/>
    </row>
    <row r="53" spans="1:23">
      <c r="A53" s="231"/>
      <c r="B53" s="231"/>
      <c r="C53" s="231"/>
      <c r="D53" s="231"/>
      <c r="E53" s="231"/>
      <c r="F53" s="231"/>
      <c r="G53" s="231"/>
      <c r="H53" s="231"/>
      <c r="I53" s="231"/>
      <c r="J53" s="231"/>
      <c r="K53" s="231"/>
      <c r="L53" s="231"/>
      <c r="M53" s="231"/>
      <c r="N53" s="231"/>
      <c r="O53" s="231"/>
      <c r="P53" s="231"/>
      <c r="Q53" s="231"/>
      <c r="R53" s="231"/>
      <c r="S53" s="231"/>
      <c r="T53" s="231"/>
      <c r="U53" s="231"/>
      <c r="V53" s="231"/>
      <c r="W53" s="231"/>
    </row>
    <row r="54" spans="1:23">
      <c r="A54" s="231"/>
      <c r="B54" s="231"/>
      <c r="C54" s="231"/>
      <c r="D54" s="231"/>
      <c r="E54" s="231"/>
      <c r="F54" s="231"/>
      <c r="G54" s="231"/>
      <c r="H54" s="231"/>
      <c r="I54" s="231"/>
      <c r="J54" s="231"/>
      <c r="K54" s="231"/>
      <c r="L54" s="231"/>
      <c r="M54" s="231"/>
      <c r="N54" s="231"/>
      <c r="O54" s="231"/>
      <c r="P54" s="231"/>
      <c r="Q54" s="231"/>
      <c r="R54" s="231"/>
      <c r="S54" s="231"/>
      <c r="T54" s="231"/>
      <c r="U54" s="231"/>
      <c r="V54" s="231"/>
      <c r="W54" s="231"/>
    </row>
    <row r="55" spans="1:23">
      <c r="A55" s="231"/>
      <c r="B55" s="231"/>
      <c r="C55" s="231"/>
      <c r="D55" s="231"/>
      <c r="E55" s="231"/>
      <c r="F55" s="231"/>
      <c r="G55" s="231"/>
      <c r="H55" s="231"/>
      <c r="I55" s="231"/>
      <c r="J55" s="231"/>
      <c r="K55" s="231"/>
      <c r="L55" s="231"/>
      <c r="M55" s="231"/>
      <c r="N55" s="231"/>
      <c r="O55" s="231"/>
      <c r="P55" s="231"/>
      <c r="Q55" s="231"/>
      <c r="R55" s="231"/>
      <c r="S55" s="231"/>
      <c r="T55" s="231"/>
      <c r="U55" s="231"/>
      <c r="V55" s="231"/>
      <c r="W55" s="231"/>
    </row>
    <row r="56" spans="1:23">
      <c r="A56" s="231"/>
      <c r="B56" s="231"/>
      <c r="C56" s="231"/>
      <c r="D56" s="231"/>
      <c r="E56" s="231"/>
      <c r="F56" s="231"/>
      <c r="G56" s="231"/>
      <c r="H56" s="231"/>
      <c r="I56" s="231"/>
      <c r="J56" s="231"/>
      <c r="K56" s="231"/>
      <c r="L56" s="231"/>
      <c r="M56" s="231"/>
      <c r="N56" s="231"/>
      <c r="O56" s="231"/>
      <c r="P56" s="231"/>
      <c r="Q56" s="231"/>
      <c r="R56" s="231"/>
      <c r="S56" s="231"/>
      <c r="T56" s="231"/>
      <c r="U56" s="231"/>
      <c r="V56" s="231"/>
      <c r="W56" s="231"/>
    </row>
    <row r="57" spans="1:23">
      <c r="A57" s="231"/>
      <c r="B57" s="231"/>
      <c r="C57" s="231"/>
      <c r="D57" s="231"/>
      <c r="E57" s="231"/>
      <c r="F57" s="231"/>
      <c r="G57" s="231"/>
      <c r="H57" s="231"/>
      <c r="I57" s="231"/>
      <c r="J57" s="231"/>
      <c r="K57" s="231"/>
      <c r="L57" s="231"/>
      <c r="M57" s="231"/>
      <c r="N57" s="231"/>
      <c r="O57" s="231"/>
      <c r="P57" s="231"/>
      <c r="Q57" s="231"/>
      <c r="R57" s="231"/>
      <c r="S57" s="231"/>
      <c r="T57" s="231"/>
      <c r="U57" s="231"/>
      <c r="V57" s="231"/>
      <c r="W57" s="231"/>
    </row>
    <row r="58" spans="1:23">
      <c r="A58" s="231"/>
      <c r="B58" s="231"/>
      <c r="C58" s="231"/>
      <c r="D58" s="231"/>
      <c r="E58" s="231"/>
      <c r="F58" s="231"/>
      <c r="G58" s="231"/>
      <c r="H58" s="231"/>
      <c r="I58" s="231"/>
      <c r="J58" s="231"/>
      <c r="K58" s="231"/>
      <c r="L58" s="231"/>
      <c r="M58" s="231"/>
      <c r="N58" s="231"/>
      <c r="O58" s="231"/>
      <c r="P58" s="231"/>
      <c r="Q58" s="231"/>
      <c r="R58" s="231"/>
      <c r="S58" s="231"/>
      <c r="T58" s="231"/>
      <c r="U58" s="231"/>
      <c r="V58" s="231"/>
      <c r="W58" s="231"/>
    </row>
    <row r="59" spans="1:23">
      <c r="A59" s="231"/>
      <c r="B59" s="231"/>
      <c r="C59" s="231"/>
      <c r="D59" s="231"/>
      <c r="E59" s="231"/>
      <c r="F59" s="231"/>
      <c r="G59" s="231"/>
      <c r="H59" s="231"/>
      <c r="I59" s="231"/>
      <c r="J59" s="231"/>
      <c r="K59" s="231"/>
      <c r="L59" s="231"/>
      <c r="M59" s="231"/>
      <c r="N59" s="231"/>
      <c r="O59" s="231"/>
      <c r="P59" s="231"/>
      <c r="Q59" s="231"/>
      <c r="R59" s="231"/>
      <c r="S59" s="231"/>
      <c r="T59" s="231"/>
      <c r="U59" s="231"/>
      <c r="V59" s="231"/>
      <c r="W59" s="231"/>
    </row>
    <row r="60" spans="1:23">
      <c r="A60" s="231"/>
      <c r="B60" s="231"/>
      <c r="C60" s="231"/>
      <c r="D60" s="231"/>
      <c r="E60" s="231"/>
      <c r="F60" s="231"/>
      <c r="G60" s="231"/>
      <c r="H60" s="231"/>
      <c r="I60" s="231"/>
      <c r="J60" s="231"/>
      <c r="K60" s="231"/>
      <c r="L60" s="231"/>
      <c r="M60" s="231"/>
      <c r="N60" s="231"/>
      <c r="O60" s="231"/>
      <c r="P60" s="231"/>
      <c r="Q60" s="231"/>
      <c r="R60" s="231"/>
      <c r="S60" s="231"/>
      <c r="T60" s="231"/>
      <c r="U60" s="231"/>
      <c r="V60" s="231"/>
      <c r="W60" s="231"/>
    </row>
    <row r="61" spans="1:23">
      <c r="A61" s="231"/>
      <c r="B61" s="231"/>
      <c r="C61" s="231"/>
      <c r="D61" s="231"/>
      <c r="E61" s="231"/>
      <c r="F61" s="231"/>
      <c r="G61" s="231"/>
      <c r="H61" s="231"/>
      <c r="I61" s="231"/>
      <c r="J61" s="231"/>
      <c r="K61" s="231"/>
      <c r="L61" s="231"/>
      <c r="M61" s="231"/>
      <c r="N61" s="231"/>
      <c r="O61" s="231"/>
      <c r="P61" s="231"/>
      <c r="Q61" s="231"/>
      <c r="R61" s="231"/>
      <c r="S61" s="231"/>
      <c r="T61" s="231"/>
      <c r="U61" s="231"/>
      <c r="V61" s="231"/>
      <c r="W61" s="231"/>
    </row>
    <row r="62" spans="1:23">
      <c r="A62" s="231"/>
      <c r="B62" s="231"/>
      <c r="C62" s="231"/>
      <c r="D62" s="231"/>
      <c r="E62" s="231"/>
      <c r="F62" s="231"/>
      <c r="G62" s="231"/>
      <c r="H62" s="231"/>
      <c r="I62" s="231"/>
      <c r="J62" s="231"/>
      <c r="K62" s="231"/>
      <c r="L62" s="231"/>
      <c r="M62" s="231"/>
      <c r="N62" s="231"/>
      <c r="O62" s="231"/>
      <c r="P62" s="231"/>
      <c r="Q62" s="231"/>
      <c r="R62" s="231"/>
      <c r="S62" s="231"/>
      <c r="T62" s="231"/>
      <c r="U62" s="231"/>
      <c r="V62" s="231"/>
      <c r="W62" s="231"/>
    </row>
    <row r="63" spans="1:23">
      <c r="A63" s="231"/>
      <c r="B63" s="231"/>
      <c r="C63" s="231"/>
      <c r="D63" s="231"/>
      <c r="E63" s="231"/>
      <c r="F63" s="231"/>
      <c r="G63" s="231"/>
      <c r="H63" s="231"/>
      <c r="I63" s="231"/>
      <c r="J63" s="231"/>
      <c r="K63" s="231"/>
      <c r="L63" s="231"/>
      <c r="M63" s="231"/>
      <c r="N63" s="231"/>
      <c r="O63" s="231"/>
      <c r="P63" s="231"/>
      <c r="Q63" s="231"/>
      <c r="R63" s="231"/>
      <c r="S63" s="231"/>
      <c r="T63" s="231"/>
      <c r="U63" s="231"/>
      <c r="V63" s="231"/>
      <c r="W63" s="231"/>
    </row>
    <row r="64" spans="1:23">
      <c r="A64" s="231"/>
      <c r="B64" s="231"/>
      <c r="C64" s="231"/>
      <c r="D64" s="231"/>
      <c r="E64" s="231"/>
      <c r="F64" s="231"/>
      <c r="G64" s="231"/>
      <c r="H64" s="231"/>
      <c r="I64" s="231"/>
      <c r="J64" s="231"/>
      <c r="K64" s="231"/>
      <c r="L64" s="231"/>
      <c r="M64" s="231"/>
      <c r="N64" s="231"/>
      <c r="O64" s="231"/>
      <c r="P64" s="231"/>
      <c r="Q64" s="231"/>
      <c r="R64" s="231"/>
      <c r="S64" s="231"/>
      <c r="T64" s="231"/>
      <c r="U64" s="231"/>
      <c r="V64" s="231"/>
      <c r="W64" s="231"/>
    </row>
    <row r="65" spans="1:23">
      <c r="A65" s="231"/>
      <c r="B65" s="231"/>
      <c r="C65" s="231"/>
      <c r="D65" s="231"/>
      <c r="E65" s="231"/>
      <c r="F65" s="231"/>
      <c r="G65" s="231"/>
      <c r="H65" s="231"/>
      <c r="I65" s="231"/>
      <c r="J65" s="231"/>
      <c r="K65" s="231"/>
      <c r="L65" s="231"/>
      <c r="M65" s="231"/>
      <c r="N65" s="231"/>
      <c r="O65" s="231"/>
      <c r="P65" s="231"/>
      <c r="Q65" s="231"/>
      <c r="R65" s="231"/>
      <c r="S65" s="231"/>
      <c r="T65" s="231"/>
      <c r="U65" s="231"/>
      <c r="V65" s="231"/>
      <c r="W65" s="231"/>
    </row>
    <row r="66" spans="1:23">
      <c r="A66" s="231"/>
      <c r="B66" s="231"/>
      <c r="C66" s="231"/>
      <c r="D66" s="231"/>
      <c r="E66" s="231"/>
      <c r="F66" s="231"/>
      <c r="G66" s="231"/>
      <c r="H66" s="231"/>
      <c r="I66" s="231"/>
      <c r="J66" s="231"/>
      <c r="K66" s="231"/>
      <c r="L66" s="231"/>
      <c r="M66" s="231"/>
      <c r="N66" s="231"/>
      <c r="O66" s="231"/>
      <c r="P66" s="231"/>
      <c r="Q66" s="231"/>
      <c r="R66" s="231"/>
      <c r="S66" s="231"/>
      <c r="T66" s="231"/>
      <c r="U66" s="231"/>
      <c r="V66" s="231"/>
      <c r="W66" s="231"/>
    </row>
    <row r="67" spans="1:23">
      <c r="A67" s="231"/>
      <c r="B67" s="231"/>
      <c r="C67" s="231"/>
      <c r="D67" s="231"/>
      <c r="E67" s="231"/>
      <c r="F67" s="231"/>
      <c r="G67" s="231"/>
      <c r="H67" s="231"/>
      <c r="I67" s="231"/>
      <c r="J67" s="231"/>
      <c r="K67" s="231"/>
      <c r="L67" s="231"/>
      <c r="M67" s="231"/>
      <c r="N67" s="231"/>
      <c r="O67" s="231"/>
      <c r="P67" s="231"/>
      <c r="Q67" s="231"/>
      <c r="R67" s="231"/>
      <c r="S67" s="231"/>
      <c r="T67" s="231"/>
      <c r="U67" s="231"/>
      <c r="V67" s="231"/>
      <c r="W67" s="231"/>
    </row>
    <row r="68" spans="1:23">
      <c r="A68" s="231"/>
      <c r="B68" s="231"/>
      <c r="C68" s="231"/>
      <c r="D68" s="231"/>
      <c r="E68" s="231"/>
      <c r="F68" s="231"/>
      <c r="G68" s="231"/>
      <c r="H68" s="231"/>
      <c r="I68" s="231"/>
      <c r="J68" s="231"/>
      <c r="K68" s="231"/>
      <c r="L68" s="231"/>
      <c r="M68" s="231"/>
      <c r="N68" s="231"/>
      <c r="O68" s="231"/>
      <c r="P68" s="231"/>
      <c r="Q68" s="231"/>
      <c r="R68" s="231"/>
      <c r="S68" s="231"/>
      <c r="T68" s="231"/>
      <c r="U68" s="231"/>
      <c r="V68" s="231"/>
      <c r="W68" s="231"/>
    </row>
    <row r="69" spans="1:23">
      <c r="A69" s="231"/>
      <c r="B69" s="231"/>
      <c r="C69" s="231"/>
      <c r="D69" s="231"/>
      <c r="E69" s="231"/>
      <c r="F69" s="231"/>
      <c r="G69" s="231"/>
      <c r="H69" s="231"/>
      <c r="I69" s="231"/>
      <c r="J69" s="231"/>
      <c r="K69" s="231"/>
      <c r="L69" s="231"/>
      <c r="M69" s="231"/>
      <c r="N69" s="231"/>
      <c r="O69" s="231"/>
      <c r="P69" s="231"/>
      <c r="Q69" s="231"/>
      <c r="R69" s="231"/>
      <c r="S69" s="231"/>
      <c r="T69" s="231"/>
      <c r="U69" s="231"/>
      <c r="V69" s="231"/>
      <c r="W69" s="231"/>
    </row>
    <row r="70" spans="1:23">
      <c r="A70" s="231"/>
      <c r="B70" s="231"/>
      <c r="C70" s="231"/>
      <c r="D70" s="231"/>
      <c r="E70" s="231"/>
      <c r="F70" s="231"/>
      <c r="G70" s="231"/>
      <c r="H70" s="231"/>
      <c r="I70" s="231"/>
      <c r="J70" s="231"/>
      <c r="K70" s="231"/>
      <c r="L70" s="231"/>
      <c r="M70" s="231"/>
      <c r="N70" s="231"/>
      <c r="O70" s="231"/>
      <c r="P70" s="231"/>
      <c r="Q70" s="231"/>
      <c r="R70" s="231"/>
      <c r="S70" s="231"/>
      <c r="T70" s="231"/>
      <c r="U70" s="231"/>
      <c r="V70" s="231"/>
      <c r="W70" s="231"/>
    </row>
    <row r="71" spans="1:23">
      <c r="A71" s="231"/>
      <c r="B71" s="231"/>
      <c r="C71" s="231"/>
      <c r="D71" s="231"/>
      <c r="E71" s="231"/>
      <c r="F71" s="231"/>
      <c r="G71" s="231"/>
      <c r="H71" s="231"/>
      <c r="I71" s="231"/>
      <c r="J71" s="231"/>
      <c r="K71" s="231"/>
      <c r="L71" s="231"/>
      <c r="M71" s="231"/>
      <c r="N71" s="231"/>
      <c r="O71" s="231"/>
      <c r="P71" s="231"/>
      <c r="Q71" s="231"/>
      <c r="R71" s="231"/>
      <c r="S71" s="231"/>
      <c r="T71" s="231"/>
      <c r="U71" s="231"/>
      <c r="V71" s="231"/>
      <c r="W71" s="231"/>
    </row>
    <row r="72" spans="1:23">
      <c r="A72" s="231"/>
      <c r="B72" s="231"/>
      <c r="C72" s="231"/>
      <c r="D72" s="231"/>
      <c r="E72" s="231"/>
      <c r="F72" s="231"/>
      <c r="G72" s="231"/>
      <c r="H72" s="231"/>
      <c r="I72" s="231"/>
      <c r="J72" s="231"/>
      <c r="K72" s="231"/>
      <c r="L72" s="231"/>
      <c r="M72" s="231"/>
      <c r="N72" s="231"/>
      <c r="O72" s="231"/>
      <c r="P72" s="231"/>
      <c r="Q72" s="231"/>
      <c r="R72" s="231"/>
      <c r="S72" s="231"/>
      <c r="T72" s="231"/>
      <c r="U72" s="231"/>
      <c r="V72" s="231"/>
      <c r="W72" s="231"/>
    </row>
    <row r="73" spans="1:23">
      <c r="A73" s="231"/>
      <c r="B73" s="231"/>
      <c r="C73" s="231"/>
      <c r="D73" s="231"/>
      <c r="E73" s="231"/>
      <c r="F73" s="231"/>
      <c r="G73" s="231"/>
      <c r="H73" s="231"/>
      <c r="I73" s="231"/>
      <c r="J73" s="231"/>
      <c r="K73" s="231"/>
      <c r="L73" s="231"/>
      <c r="M73" s="231"/>
      <c r="N73" s="231"/>
      <c r="O73" s="231"/>
      <c r="P73" s="231"/>
      <c r="Q73" s="231"/>
      <c r="R73" s="231"/>
      <c r="S73" s="231"/>
      <c r="T73" s="231"/>
      <c r="U73" s="231"/>
      <c r="V73" s="231"/>
      <c r="W73" s="231"/>
    </row>
    <row r="74" spans="1:23">
      <c r="A74" s="231"/>
      <c r="B74" s="231"/>
      <c r="C74" s="231"/>
      <c r="D74" s="231"/>
      <c r="E74" s="231"/>
      <c r="F74" s="231"/>
      <c r="G74" s="231"/>
      <c r="H74" s="231"/>
      <c r="I74" s="231"/>
      <c r="J74" s="231"/>
      <c r="K74" s="231"/>
      <c r="L74" s="231"/>
      <c r="M74" s="231"/>
      <c r="N74" s="231"/>
      <c r="O74" s="231"/>
      <c r="P74" s="231"/>
      <c r="Q74" s="231"/>
      <c r="R74" s="231"/>
      <c r="S74" s="231"/>
      <c r="T74" s="231"/>
      <c r="U74" s="231"/>
      <c r="V74" s="231"/>
      <c r="W74" s="231"/>
    </row>
    <row r="75" spans="1:23">
      <c r="A75" s="231"/>
      <c r="B75" s="231"/>
      <c r="C75" s="231"/>
      <c r="D75" s="231"/>
      <c r="E75" s="231"/>
      <c r="F75" s="231"/>
      <c r="G75" s="231"/>
      <c r="H75" s="231"/>
      <c r="I75" s="231"/>
      <c r="J75" s="231"/>
      <c r="K75" s="231"/>
      <c r="L75" s="231"/>
      <c r="M75" s="231"/>
      <c r="N75" s="231"/>
      <c r="O75" s="231"/>
      <c r="P75" s="231"/>
      <c r="Q75" s="231"/>
      <c r="R75" s="231"/>
      <c r="S75" s="231"/>
      <c r="T75" s="231"/>
      <c r="U75" s="231"/>
      <c r="V75" s="231"/>
      <c r="W75" s="231"/>
    </row>
    <row r="76" spans="1:23">
      <c r="A76" s="231"/>
      <c r="B76" s="231"/>
      <c r="C76" s="231"/>
      <c r="D76" s="231"/>
      <c r="E76" s="231"/>
      <c r="F76" s="231"/>
      <c r="G76" s="231"/>
      <c r="H76" s="231"/>
      <c r="I76" s="231"/>
      <c r="J76" s="231"/>
      <c r="K76" s="231"/>
      <c r="L76" s="231"/>
      <c r="M76" s="231"/>
      <c r="N76" s="231"/>
      <c r="O76" s="231"/>
      <c r="P76" s="231"/>
      <c r="Q76" s="231"/>
      <c r="R76" s="231"/>
      <c r="S76" s="231"/>
      <c r="T76" s="231"/>
      <c r="U76" s="231"/>
      <c r="V76" s="231"/>
      <c r="W76" s="231"/>
    </row>
    <row r="77" spans="1:23">
      <c r="A77" s="231"/>
      <c r="B77" s="231"/>
      <c r="C77" s="231"/>
      <c r="D77" s="231"/>
      <c r="E77" s="231"/>
      <c r="F77" s="231"/>
      <c r="G77" s="231"/>
      <c r="H77" s="231"/>
      <c r="I77" s="231"/>
      <c r="J77" s="231"/>
      <c r="K77" s="231"/>
      <c r="L77" s="231"/>
      <c r="M77" s="231"/>
      <c r="N77" s="231"/>
      <c r="O77" s="231"/>
      <c r="P77" s="231"/>
      <c r="Q77" s="231"/>
      <c r="R77" s="231"/>
      <c r="S77" s="231"/>
      <c r="T77" s="231"/>
      <c r="U77" s="231"/>
      <c r="V77" s="231"/>
      <c r="W77" s="231"/>
    </row>
    <row r="78" spans="1:23">
      <c r="A78" s="231"/>
      <c r="B78" s="231"/>
      <c r="C78" s="231"/>
      <c r="D78" s="231"/>
      <c r="E78" s="231"/>
      <c r="F78" s="231"/>
      <c r="G78" s="231"/>
      <c r="H78" s="231"/>
      <c r="I78" s="231"/>
      <c r="J78" s="231"/>
      <c r="K78" s="231"/>
      <c r="L78" s="231"/>
      <c r="M78" s="231"/>
      <c r="N78" s="231"/>
      <c r="O78" s="231"/>
      <c r="P78" s="231"/>
      <c r="Q78" s="231"/>
      <c r="R78" s="231"/>
      <c r="S78" s="231"/>
      <c r="T78" s="231"/>
      <c r="U78" s="231"/>
      <c r="V78" s="231"/>
      <c r="W78" s="231"/>
    </row>
    <row r="79" spans="1:23">
      <c r="A79" s="231"/>
      <c r="B79" s="231"/>
      <c r="C79" s="231"/>
      <c r="D79" s="231"/>
      <c r="E79" s="231"/>
      <c r="F79" s="231"/>
      <c r="G79" s="231"/>
      <c r="H79" s="231"/>
      <c r="I79" s="231"/>
      <c r="J79" s="231"/>
      <c r="K79" s="231"/>
      <c r="L79" s="231"/>
      <c r="M79" s="231"/>
      <c r="N79" s="231"/>
      <c r="O79" s="231"/>
      <c r="P79" s="231"/>
      <c r="Q79" s="231"/>
      <c r="R79" s="231"/>
      <c r="S79" s="231"/>
      <c r="T79" s="231"/>
      <c r="U79" s="231"/>
      <c r="V79" s="231"/>
      <c r="W79" s="231"/>
    </row>
    <row r="80" spans="1:23">
      <c r="A80" s="231"/>
      <c r="B80" s="231"/>
      <c r="C80" s="231"/>
      <c r="D80" s="231"/>
      <c r="E80" s="231"/>
      <c r="F80" s="231"/>
      <c r="G80" s="231"/>
      <c r="H80" s="231"/>
      <c r="I80" s="231"/>
      <c r="J80" s="231"/>
      <c r="K80" s="231"/>
      <c r="L80" s="231"/>
      <c r="M80" s="231"/>
      <c r="N80" s="231"/>
      <c r="O80" s="231"/>
      <c r="P80" s="231"/>
      <c r="Q80" s="231"/>
      <c r="R80" s="231"/>
      <c r="S80" s="231"/>
      <c r="T80" s="231"/>
      <c r="U80" s="231"/>
      <c r="V80" s="231"/>
      <c r="W80" s="231"/>
    </row>
    <row r="81" spans="1:23">
      <c r="A81" s="231"/>
      <c r="B81" s="231"/>
      <c r="C81" s="231"/>
      <c r="D81" s="231"/>
      <c r="E81" s="231"/>
      <c r="F81" s="231"/>
      <c r="G81" s="231"/>
      <c r="H81" s="231"/>
      <c r="I81" s="231"/>
      <c r="J81" s="231"/>
      <c r="K81" s="231"/>
      <c r="L81" s="231"/>
      <c r="M81" s="231"/>
      <c r="N81" s="231"/>
      <c r="O81" s="231"/>
      <c r="P81" s="231"/>
      <c r="Q81" s="231"/>
      <c r="R81" s="231"/>
      <c r="S81" s="231"/>
      <c r="T81" s="231"/>
      <c r="U81" s="231"/>
      <c r="V81" s="231"/>
      <c r="W81" s="231"/>
    </row>
    <row r="82" spans="1:23">
      <c r="A82" s="231"/>
      <c r="B82" s="231"/>
      <c r="C82" s="231"/>
      <c r="D82" s="231"/>
      <c r="E82" s="231"/>
      <c r="F82" s="231"/>
      <c r="G82" s="231"/>
      <c r="H82" s="231"/>
      <c r="I82" s="231"/>
      <c r="J82" s="231"/>
      <c r="K82" s="231"/>
      <c r="L82" s="231"/>
      <c r="M82" s="231"/>
      <c r="N82" s="231"/>
      <c r="O82" s="231"/>
      <c r="P82" s="231"/>
      <c r="Q82" s="231"/>
      <c r="R82" s="231"/>
      <c r="S82" s="231"/>
      <c r="T82" s="231"/>
      <c r="U82" s="231"/>
      <c r="V82" s="231"/>
      <c r="W82" s="231"/>
    </row>
    <row r="83" spans="1:23">
      <c r="A83" s="231"/>
      <c r="B83" s="231"/>
      <c r="C83" s="231"/>
      <c r="D83" s="231"/>
      <c r="E83" s="231"/>
      <c r="F83" s="231"/>
      <c r="G83" s="231"/>
      <c r="H83" s="231"/>
      <c r="I83" s="231"/>
      <c r="J83" s="231"/>
      <c r="K83" s="231"/>
      <c r="L83" s="231"/>
      <c r="M83" s="231"/>
      <c r="N83" s="231"/>
      <c r="O83" s="231"/>
      <c r="P83" s="231"/>
      <c r="Q83" s="231"/>
      <c r="R83" s="231"/>
      <c r="S83" s="231"/>
      <c r="T83" s="231"/>
      <c r="U83" s="231"/>
      <c r="V83" s="231"/>
      <c r="W83" s="231"/>
    </row>
    <row r="84" spans="1:23">
      <c r="A84" s="231"/>
      <c r="B84" s="231"/>
      <c r="C84" s="231"/>
      <c r="D84" s="231"/>
      <c r="E84" s="231"/>
      <c r="F84" s="231"/>
      <c r="G84" s="231"/>
      <c r="H84" s="231"/>
      <c r="I84" s="231"/>
      <c r="J84" s="231"/>
      <c r="K84" s="231"/>
      <c r="L84" s="231"/>
      <c r="M84" s="231"/>
      <c r="N84" s="231"/>
      <c r="O84" s="231"/>
      <c r="P84" s="231"/>
      <c r="Q84" s="231"/>
      <c r="R84" s="231"/>
      <c r="S84" s="231"/>
      <c r="T84" s="231"/>
      <c r="U84" s="231"/>
      <c r="V84" s="231"/>
      <c r="W84" s="231"/>
    </row>
    <row r="85" spans="1:23">
      <c r="A85" s="231"/>
      <c r="B85" s="231"/>
      <c r="C85" s="231"/>
      <c r="D85" s="231"/>
      <c r="E85" s="231"/>
      <c r="F85" s="231"/>
      <c r="G85" s="231"/>
      <c r="H85" s="231"/>
      <c r="I85" s="231"/>
      <c r="J85" s="231"/>
      <c r="K85" s="231"/>
      <c r="L85" s="231"/>
      <c r="M85" s="231"/>
      <c r="N85" s="231"/>
      <c r="O85" s="231"/>
      <c r="P85" s="231"/>
      <c r="Q85" s="231"/>
      <c r="R85" s="231"/>
      <c r="S85" s="231"/>
      <c r="T85" s="231"/>
      <c r="U85" s="231"/>
      <c r="V85" s="231"/>
      <c r="W85" s="231"/>
    </row>
    <row r="86" spans="1:23">
      <c r="A86" s="231"/>
      <c r="B86" s="231"/>
      <c r="C86" s="231"/>
      <c r="D86" s="231"/>
      <c r="E86" s="231"/>
      <c r="F86" s="231"/>
      <c r="G86" s="231"/>
      <c r="H86" s="231"/>
      <c r="I86" s="231"/>
      <c r="J86" s="231"/>
      <c r="K86" s="231"/>
      <c r="L86" s="231"/>
      <c r="M86" s="231"/>
      <c r="N86" s="231"/>
      <c r="O86" s="231"/>
      <c r="P86" s="231"/>
      <c r="Q86" s="231"/>
      <c r="R86" s="231"/>
      <c r="S86" s="231"/>
      <c r="T86" s="231"/>
      <c r="U86" s="231"/>
      <c r="V86" s="231"/>
      <c r="W86" s="231"/>
    </row>
    <row r="87" spans="1:23">
      <c r="A87" s="231"/>
      <c r="B87" s="231"/>
      <c r="C87" s="231"/>
      <c r="D87" s="231"/>
      <c r="E87" s="231"/>
      <c r="F87" s="231"/>
      <c r="G87" s="231"/>
      <c r="H87" s="231"/>
      <c r="I87" s="231"/>
      <c r="J87" s="231"/>
      <c r="K87" s="231"/>
      <c r="L87" s="231"/>
      <c r="M87" s="231"/>
      <c r="N87" s="231"/>
      <c r="O87" s="231"/>
      <c r="P87" s="231"/>
      <c r="Q87" s="231"/>
      <c r="R87" s="231"/>
      <c r="S87" s="231"/>
      <c r="T87" s="231"/>
      <c r="U87" s="231"/>
      <c r="V87" s="231"/>
      <c r="W87" s="231"/>
    </row>
    <row r="88" spans="1:23">
      <c r="A88" s="231"/>
      <c r="B88" s="231"/>
      <c r="C88" s="231"/>
      <c r="D88" s="231"/>
      <c r="E88" s="231"/>
      <c r="F88" s="231"/>
      <c r="G88" s="231"/>
      <c r="H88" s="231"/>
      <c r="I88" s="231"/>
      <c r="J88" s="231"/>
      <c r="K88" s="231"/>
      <c r="L88" s="231"/>
      <c r="M88" s="231"/>
      <c r="N88" s="231"/>
      <c r="O88" s="231"/>
      <c r="P88" s="231"/>
      <c r="Q88" s="231"/>
      <c r="R88" s="231"/>
      <c r="S88" s="231"/>
      <c r="T88" s="231"/>
      <c r="U88" s="231"/>
      <c r="V88" s="231"/>
      <c r="W88" s="231"/>
    </row>
    <row r="89" spans="1:23">
      <c r="A89" s="231"/>
      <c r="B89" s="231"/>
      <c r="C89" s="231"/>
      <c r="D89" s="231"/>
      <c r="E89" s="231"/>
      <c r="F89" s="231"/>
      <c r="G89" s="231"/>
      <c r="H89" s="231"/>
      <c r="I89" s="231"/>
      <c r="J89" s="231"/>
      <c r="K89" s="231"/>
      <c r="L89" s="231"/>
      <c r="M89" s="231"/>
      <c r="N89" s="231"/>
      <c r="O89" s="231"/>
      <c r="P89" s="231"/>
      <c r="Q89" s="231"/>
      <c r="R89" s="231"/>
      <c r="S89" s="231"/>
      <c r="T89" s="231"/>
      <c r="U89" s="231"/>
      <c r="V89" s="231"/>
      <c r="W89" s="231"/>
    </row>
    <row r="90" spans="1:23">
      <c r="A90" s="231"/>
      <c r="B90" s="231"/>
      <c r="C90" s="231"/>
      <c r="D90" s="231"/>
      <c r="E90" s="231"/>
      <c r="F90" s="231"/>
      <c r="G90" s="231"/>
      <c r="H90" s="231"/>
      <c r="I90" s="231"/>
      <c r="J90" s="231"/>
      <c r="K90" s="231"/>
      <c r="L90" s="231"/>
      <c r="M90" s="231"/>
      <c r="N90" s="231"/>
      <c r="O90" s="231"/>
      <c r="P90" s="231"/>
      <c r="Q90" s="231"/>
      <c r="R90" s="231"/>
      <c r="S90" s="231"/>
      <c r="T90" s="231"/>
      <c r="U90" s="231"/>
      <c r="V90" s="231"/>
      <c r="W90" s="231"/>
    </row>
    <row r="91" spans="1:23">
      <c r="A91" s="231"/>
      <c r="B91" s="231"/>
      <c r="C91" s="231"/>
      <c r="D91" s="231"/>
      <c r="E91" s="231"/>
      <c r="F91" s="231"/>
      <c r="G91" s="231"/>
      <c r="H91" s="231"/>
      <c r="I91" s="231"/>
      <c r="J91" s="231"/>
      <c r="K91" s="231"/>
      <c r="L91" s="231"/>
      <c r="M91" s="231"/>
      <c r="N91" s="231"/>
      <c r="O91" s="231"/>
      <c r="P91" s="231"/>
      <c r="Q91" s="231"/>
      <c r="R91" s="231"/>
      <c r="S91" s="231"/>
      <c r="T91" s="231"/>
      <c r="U91" s="231"/>
      <c r="V91" s="231"/>
      <c r="W91" s="231"/>
    </row>
    <row r="92" spans="1:23">
      <c r="A92" s="231"/>
      <c r="B92" s="231"/>
      <c r="C92" s="231"/>
      <c r="D92" s="231"/>
      <c r="E92" s="231"/>
      <c r="F92" s="231"/>
      <c r="G92" s="231"/>
      <c r="H92" s="231"/>
      <c r="I92" s="231"/>
      <c r="J92" s="231"/>
      <c r="K92" s="231"/>
      <c r="L92" s="231"/>
      <c r="M92" s="231"/>
      <c r="N92" s="231"/>
      <c r="O92" s="231"/>
      <c r="P92" s="231"/>
      <c r="Q92" s="231"/>
      <c r="R92" s="231"/>
      <c r="S92" s="231"/>
      <c r="T92" s="231"/>
      <c r="U92" s="231"/>
      <c r="V92" s="231"/>
      <c r="W92" s="231"/>
    </row>
    <row r="93" spans="1:23">
      <c r="A93" s="231"/>
      <c r="B93" s="231"/>
      <c r="C93" s="231"/>
      <c r="D93" s="231"/>
      <c r="E93" s="231"/>
      <c r="F93" s="231"/>
      <c r="G93" s="231"/>
      <c r="H93" s="231"/>
      <c r="I93" s="231"/>
      <c r="J93" s="231"/>
      <c r="K93" s="231"/>
      <c r="L93" s="231"/>
      <c r="M93" s="231"/>
      <c r="N93" s="231"/>
      <c r="O93" s="231"/>
      <c r="P93" s="231"/>
      <c r="Q93" s="231"/>
      <c r="R93" s="231"/>
      <c r="S93" s="231"/>
      <c r="T93" s="231"/>
      <c r="U93" s="231"/>
      <c r="V93" s="231"/>
      <c r="W93" s="231"/>
    </row>
    <row r="94" spans="1:23">
      <c r="A94" s="231"/>
      <c r="B94" s="231"/>
      <c r="C94" s="231"/>
      <c r="D94" s="231"/>
      <c r="E94" s="231"/>
      <c r="F94" s="231"/>
      <c r="G94" s="231"/>
      <c r="H94" s="231"/>
      <c r="I94" s="231"/>
      <c r="J94" s="231"/>
      <c r="K94" s="231"/>
      <c r="L94" s="231"/>
      <c r="M94" s="231"/>
      <c r="N94" s="231"/>
      <c r="O94" s="231"/>
      <c r="P94" s="231"/>
      <c r="Q94" s="231"/>
      <c r="R94" s="231"/>
      <c r="S94" s="231"/>
      <c r="T94" s="231"/>
      <c r="U94" s="231"/>
      <c r="V94" s="231"/>
      <c r="W94" s="231"/>
    </row>
    <row r="95" spans="1:23">
      <c r="A95" s="231"/>
      <c r="B95" s="231"/>
      <c r="C95" s="231"/>
      <c r="D95" s="231"/>
      <c r="E95" s="231"/>
      <c r="F95" s="231"/>
      <c r="G95" s="231"/>
      <c r="H95" s="231"/>
      <c r="I95" s="231"/>
      <c r="J95" s="231"/>
      <c r="K95" s="231"/>
      <c r="L95" s="231"/>
      <c r="M95" s="231"/>
      <c r="N95" s="231"/>
      <c r="O95" s="231"/>
      <c r="P95" s="231"/>
      <c r="Q95" s="231"/>
      <c r="R95" s="231"/>
      <c r="S95" s="231"/>
      <c r="T95" s="231"/>
      <c r="U95" s="231"/>
      <c r="V95" s="231"/>
      <c r="W95" s="231"/>
    </row>
    <row r="96" spans="1:23">
      <c r="A96" s="231"/>
      <c r="B96" s="231"/>
      <c r="C96" s="231"/>
      <c r="D96" s="231"/>
      <c r="E96" s="231"/>
      <c r="F96" s="231"/>
      <c r="G96" s="231"/>
      <c r="H96" s="231"/>
      <c r="I96" s="231"/>
      <c r="J96" s="231"/>
      <c r="K96" s="231"/>
      <c r="L96" s="231"/>
      <c r="M96" s="231"/>
      <c r="N96" s="231"/>
      <c r="O96" s="231"/>
      <c r="P96" s="231"/>
      <c r="Q96" s="231"/>
      <c r="R96" s="231"/>
      <c r="S96" s="231"/>
      <c r="T96" s="231"/>
      <c r="U96" s="231"/>
      <c r="V96" s="231"/>
      <c r="W96" s="231"/>
    </row>
    <row r="97" spans="1:23">
      <c r="A97" s="231"/>
      <c r="B97" s="231"/>
      <c r="C97" s="231"/>
      <c r="D97" s="231"/>
      <c r="E97" s="231"/>
      <c r="F97" s="231"/>
      <c r="G97" s="231"/>
      <c r="H97" s="231"/>
      <c r="I97" s="231"/>
      <c r="J97" s="231"/>
      <c r="K97" s="231"/>
      <c r="L97" s="231"/>
      <c r="M97" s="231"/>
      <c r="N97" s="231"/>
      <c r="O97" s="231"/>
      <c r="P97" s="231"/>
      <c r="Q97" s="231"/>
      <c r="R97" s="231"/>
      <c r="S97" s="231"/>
      <c r="T97" s="231"/>
      <c r="U97" s="231"/>
      <c r="V97" s="231"/>
      <c r="W97" s="231"/>
    </row>
    <row r="98" spans="1:23">
      <c r="A98" s="231"/>
      <c r="B98" s="231"/>
      <c r="C98" s="231"/>
      <c r="D98" s="231"/>
      <c r="E98" s="231"/>
      <c r="F98" s="231"/>
      <c r="G98" s="231"/>
      <c r="H98" s="231"/>
      <c r="I98" s="231"/>
      <c r="J98" s="231"/>
      <c r="K98" s="231"/>
      <c r="L98" s="231"/>
      <c r="M98" s="231"/>
      <c r="N98" s="231"/>
      <c r="O98" s="231"/>
      <c r="P98" s="231"/>
      <c r="Q98" s="231"/>
      <c r="R98" s="231"/>
      <c r="S98" s="231"/>
      <c r="T98" s="231"/>
      <c r="U98" s="231"/>
      <c r="V98" s="231"/>
      <c r="W98" s="231"/>
    </row>
    <row r="99" spans="1:23">
      <c r="A99" s="231"/>
      <c r="B99" s="231"/>
      <c r="C99" s="231"/>
      <c r="D99" s="231"/>
      <c r="E99" s="231"/>
      <c r="F99" s="231"/>
      <c r="G99" s="231"/>
      <c r="H99" s="231"/>
      <c r="I99" s="231"/>
      <c r="J99" s="231"/>
      <c r="K99" s="231"/>
      <c r="L99" s="231"/>
      <c r="M99" s="231"/>
      <c r="N99" s="231"/>
      <c r="O99" s="231"/>
      <c r="P99" s="231"/>
      <c r="Q99" s="231"/>
      <c r="R99" s="231"/>
      <c r="S99" s="231"/>
      <c r="T99" s="231"/>
      <c r="U99" s="231"/>
      <c r="V99" s="231"/>
      <c r="W99" s="231"/>
    </row>
    <row r="100" spans="1:23">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row>
    <row r="101" spans="1:23">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row>
    <row r="102" spans="1:23">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row>
    <row r="103" spans="1:23">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row>
    <row r="104" spans="1:23">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row>
    <row r="105" spans="1:23">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row>
    <row r="106" spans="1:23">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row>
    <row r="107" spans="1:23">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row>
    <row r="108" spans="1:23">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row>
    <row r="109" spans="1:23">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row>
    <row r="110" spans="1:23">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row>
    <row r="111" spans="1:23">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row>
    <row r="112" spans="1:23">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row>
    <row r="113" spans="1:23">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row>
    <row r="114" spans="1:23">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row>
    <row r="115" spans="1:23">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row>
    <row r="116" spans="1:23">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row>
    <row r="117" spans="1:23">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row>
    <row r="118" spans="1:23">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row>
    <row r="119" spans="1:23">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row>
    <row r="120" spans="1:23">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row>
    <row r="121" spans="1:23">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row>
    <row r="122" spans="1:23">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row>
    <row r="123" spans="1:23">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row>
    <row r="124" spans="1:23">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row>
    <row r="125" spans="1:23">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row>
    <row r="126" spans="1:23">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row>
    <row r="127" spans="1:23">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row>
    <row r="128" spans="1:23">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row>
    <row r="129" spans="1:23">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row>
    <row r="130" spans="1:23">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row>
    <row r="131" spans="1:23">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row>
    <row r="132" spans="1:23">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row>
    <row r="133" spans="1:23">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row>
    <row r="134" spans="1:23">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row>
    <row r="135" spans="1:23">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row>
    <row r="136" spans="1:23">
      <c r="A136" s="231"/>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row>
    <row r="137" spans="1:23">
      <c r="A137" s="231"/>
      <c r="B137" s="231"/>
      <c r="C137" s="231"/>
      <c r="D137" s="231"/>
      <c r="E137" s="231"/>
      <c r="F137" s="231"/>
      <c r="G137" s="231"/>
      <c r="H137" s="231"/>
      <c r="I137" s="231"/>
      <c r="J137" s="231"/>
      <c r="K137" s="231"/>
      <c r="L137" s="231"/>
      <c r="M137" s="231"/>
      <c r="N137" s="231"/>
      <c r="O137" s="231"/>
      <c r="P137" s="231"/>
      <c r="Q137" s="231"/>
      <c r="R137" s="231"/>
      <c r="S137" s="231"/>
      <c r="T137" s="231"/>
      <c r="U137" s="231"/>
      <c r="V137" s="231"/>
      <c r="W137" s="231"/>
    </row>
    <row r="138" spans="1:23">
      <c r="A138" s="231"/>
      <c r="B138" s="231"/>
      <c r="C138" s="231"/>
      <c r="D138" s="231"/>
      <c r="E138" s="231"/>
      <c r="F138" s="231"/>
      <c r="G138" s="231"/>
      <c r="H138" s="231"/>
      <c r="I138" s="231"/>
      <c r="J138" s="231"/>
      <c r="K138" s="231"/>
      <c r="L138" s="231"/>
      <c r="M138" s="231"/>
      <c r="N138" s="231"/>
      <c r="O138" s="231"/>
      <c r="P138" s="231"/>
      <c r="Q138" s="231"/>
      <c r="R138" s="231"/>
      <c r="S138" s="231"/>
      <c r="T138" s="231"/>
      <c r="U138" s="231"/>
      <c r="V138" s="231"/>
      <c r="W138" s="231"/>
    </row>
    <row r="139" spans="1:23">
      <c r="A139" s="231"/>
      <c r="B139" s="231"/>
      <c r="C139" s="231"/>
      <c r="D139" s="231"/>
      <c r="E139" s="231"/>
      <c r="F139" s="231"/>
      <c r="G139" s="231"/>
      <c r="H139" s="231"/>
      <c r="I139" s="231"/>
      <c r="J139" s="231"/>
      <c r="K139" s="231"/>
      <c r="L139" s="231"/>
      <c r="M139" s="231"/>
      <c r="N139" s="231"/>
      <c r="O139" s="231"/>
      <c r="P139" s="231"/>
      <c r="Q139" s="231"/>
      <c r="R139" s="231"/>
      <c r="S139" s="231"/>
      <c r="T139" s="231"/>
      <c r="U139" s="231"/>
      <c r="V139" s="231"/>
      <c r="W139" s="231"/>
    </row>
    <row r="140" spans="1:23">
      <c r="A140" s="231"/>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row>
    <row r="141" spans="1:23">
      <c r="A141" s="231"/>
      <c r="B141" s="231"/>
      <c r="C141" s="231"/>
      <c r="D141" s="231"/>
      <c r="E141" s="231"/>
      <c r="F141" s="231"/>
      <c r="G141" s="231"/>
      <c r="H141" s="231"/>
      <c r="I141" s="231"/>
      <c r="J141" s="231"/>
      <c r="K141" s="231"/>
      <c r="L141" s="231"/>
      <c r="M141" s="231"/>
      <c r="N141" s="231"/>
      <c r="O141" s="231"/>
      <c r="P141" s="231"/>
      <c r="Q141" s="231"/>
      <c r="R141" s="231"/>
      <c r="S141" s="231"/>
      <c r="T141" s="231"/>
      <c r="U141" s="231"/>
      <c r="V141" s="231"/>
      <c r="W141" s="231"/>
    </row>
    <row r="142" spans="1:23">
      <c r="A142" s="231"/>
      <c r="B142" s="231"/>
      <c r="C142" s="231"/>
      <c r="D142" s="231"/>
      <c r="E142" s="231"/>
      <c r="F142" s="231"/>
      <c r="G142" s="231"/>
      <c r="H142" s="231"/>
      <c r="I142" s="231"/>
      <c r="J142" s="231"/>
      <c r="K142" s="231"/>
      <c r="L142" s="231"/>
      <c r="M142" s="231"/>
      <c r="N142" s="231"/>
      <c r="O142" s="231"/>
      <c r="P142" s="231"/>
      <c r="Q142" s="231"/>
      <c r="R142" s="231"/>
      <c r="S142" s="231"/>
      <c r="T142" s="231"/>
      <c r="U142" s="231"/>
      <c r="V142" s="231"/>
      <c r="W142" s="231"/>
    </row>
    <row r="143" spans="1:23">
      <c r="A143" s="231"/>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row>
    <row r="144" spans="1:23">
      <c r="A144" s="231"/>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row>
    <row r="145" spans="1:23">
      <c r="A145" s="231"/>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row>
    <row r="146" spans="1:23">
      <c r="A146" s="231"/>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row>
    <row r="147" spans="1:23">
      <c r="A147" s="231"/>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row>
    <row r="148" spans="1:23">
      <c r="A148" s="23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row>
    <row r="149" spans="1:23">
      <c r="A149" s="231"/>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row>
    <row r="150" spans="1:23">
      <c r="A150" s="23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row>
    <row r="151" spans="1:23">
      <c r="A151" s="23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row>
    <row r="152" spans="1:23">
      <c r="A152" s="23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row>
    <row r="153" spans="1:23">
      <c r="A153" s="231"/>
      <c r="B153" s="231"/>
      <c r="C153" s="231"/>
      <c r="D153" s="231"/>
      <c r="E153" s="231"/>
      <c r="F153" s="231"/>
      <c r="G153" s="231"/>
      <c r="H153" s="231"/>
      <c r="I153" s="231"/>
      <c r="J153" s="231"/>
      <c r="K153" s="231"/>
      <c r="L153" s="231"/>
      <c r="M153" s="231"/>
      <c r="N153" s="231"/>
      <c r="O153" s="231"/>
      <c r="P153" s="231"/>
      <c r="Q153" s="231"/>
      <c r="R153" s="231"/>
      <c r="S153" s="231"/>
      <c r="T153" s="231"/>
      <c r="U153" s="231"/>
      <c r="V153" s="231"/>
      <c r="W153" s="231"/>
    </row>
    <row r="154" spans="1:23">
      <c r="A154" s="231"/>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row>
    <row r="155" spans="1:23">
      <c r="A155" s="231"/>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row>
    <row r="156" spans="1:23">
      <c r="A156" s="231"/>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row>
    <row r="157" spans="1:23">
      <c r="A157" s="231"/>
      <c r="B157" s="231"/>
      <c r="C157" s="231"/>
      <c r="D157" s="231"/>
      <c r="E157" s="231"/>
      <c r="F157" s="231"/>
      <c r="G157" s="231"/>
      <c r="H157" s="231"/>
      <c r="I157" s="231"/>
      <c r="J157" s="231"/>
      <c r="K157" s="231"/>
      <c r="L157" s="231"/>
      <c r="M157" s="231"/>
      <c r="N157" s="231"/>
      <c r="O157" s="231"/>
      <c r="P157" s="231"/>
      <c r="Q157" s="231"/>
      <c r="R157" s="231"/>
      <c r="S157" s="231"/>
      <c r="T157" s="231"/>
      <c r="U157" s="231"/>
      <c r="V157" s="231"/>
      <c r="W157" s="231"/>
    </row>
    <row r="158" spans="1:23">
      <c r="A158" s="231"/>
      <c r="B158" s="231"/>
      <c r="C158" s="231"/>
      <c r="D158" s="231"/>
      <c r="E158" s="231"/>
      <c r="F158" s="231"/>
      <c r="G158" s="231"/>
      <c r="H158" s="231"/>
      <c r="I158" s="231"/>
      <c r="J158" s="231"/>
      <c r="K158" s="231"/>
      <c r="L158" s="231"/>
      <c r="M158" s="231"/>
      <c r="N158" s="231"/>
      <c r="O158" s="231"/>
      <c r="P158" s="231"/>
      <c r="Q158" s="231"/>
      <c r="R158" s="231"/>
      <c r="S158" s="231"/>
      <c r="T158" s="231"/>
      <c r="U158" s="231"/>
      <c r="V158" s="231"/>
      <c r="W158" s="231"/>
    </row>
    <row r="159" spans="1:23">
      <c r="A159" s="231"/>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row>
    <row r="160" spans="1:23">
      <c r="A160" s="231"/>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row>
    <row r="161" spans="1:23">
      <c r="A161" s="231"/>
      <c r="B161" s="231"/>
      <c r="C161" s="231"/>
      <c r="D161" s="231"/>
      <c r="E161" s="231"/>
      <c r="F161" s="231"/>
      <c r="G161" s="231"/>
      <c r="H161" s="231"/>
      <c r="I161" s="231"/>
      <c r="J161" s="231"/>
      <c r="K161" s="231"/>
      <c r="L161" s="231"/>
      <c r="M161" s="231"/>
      <c r="N161" s="231"/>
      <c r="O161" s="231"/>
      <c r="P161" s="231"/>
      <c r="Q161" s="231"/>
      <c r="R161" s="231"/>
      <c r="S161" s="231"/>
      <c r="T161" s="231"/>
      <c r="U161" s="231"/>
      <c r="V161" s="231"/>
      <c r="W161" s="231"/>
    </row>
    <row r="162" spans="1:23">
      <c r="A162" s="231"/>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row>
    <row r="163" spans="1:23">
      <c r="A163" s="231"/>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row>
    <row r="164" spans="1:23">
      <c r="A164" s="231"/>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1"/>
    </row>
    <row r="165" spans="1:23">
      <c r="A165" s="231"/>
      <c r="B165" s="231"/>
      <c r="C165" s="231"/>
      <c r="D165" s="231"/>
      <c r="E165" s="231"/>
      <c r="F165" s="231"/>
      <c r="G165" s="231"/>
      <c r="H165" s="231"/>
      <c r="I165" s="231"/>
      <c r="J165" s="231"/>
      <c r="K165" s="231"/>
      <c r="L165" s="231"/>
      <c r="M165" s="231"/>
      <c r="N165" s="231"/>
      <c r="O165" s="231"/>
      <c r="P165" s="231"/>
      <c r="Q165" s="231"/>
      <c r="R165" s="231"/>
      <c r="S165" s="231"/>
      <c r="T165" s="231"/>
      <c r="U165" s="231"/>
      <c r="V165" s="231"/>
      <c r="W165" s="231"/>
    </row>
    <row r="166" spans="1:23">
      <c r="A166" s="231"/>
      <c r="B166" s="231"/>
      <c r="C166" s="231"/>
      <c r="D166" s="231"/>
      <c r="E166" s="231"/>
      <c r="F166" s="231"/>
      <c r="G166" s="231"/>
      <c r="H166" s="231"/>
      <c r="I166" s="231"/>
      <c r="J166" s="231"/>
      <c r="K166" s="231"/>
      <c r="L166" s="231"/>
      <c r="M166" s="231"/>
      <c r="N166" s="231"/>
      <c r="O166" s="231"/>
      <c r="P166" s="231"/>
      <c r="Q166" s="231"/>
      <c r="R166" s="231"/>
      <c r="S166" s="231"/>
      <c r="T166" s="231"/>
      <c r="U166" s="231"/>
      <c r="V166" s="231"/>
      <c r="W166" s="231"/>
    </row>
    <row r="167" spans="1:23">
      <c r="A167" s="231"/>
      <c r="B167" s="231"/>
      <c r="C167" s="231"/>
      <c r="D167" s="231"/>
      <c r="E167" s="231"/>
      <c r="F167" s="231"/>
      <c r="G167" s="231"/>
      <c r="H167" s="231"/>
      <c r="I167" s="231"/>
      <c r="J167" s="231"/>
      <c r="K167" s="231"/>
      <c r="L167" s="231"/>
      <c r="M167" s="231"/>
      <c r="N167" s="231"/>
      <c r="O167" s="231"/>
      <c r="P167" s="231"/>
      <c r="Q167" s="231"/>
      <c r="R167" s="231"/>
      <c r="S167" s="231"/>
      <c r="T167" s="231"/>
      <c r="U167" s="231"/>
      <c r="V167" s="231"/>
      <c r="W167" s="231"/>
    </row>
    <row r="168" spans="1:23">
      <c r="A168" s="231"/>
      <c r="B168" s="231"/>
      <c r="C168" s="231"/>
      <c r="D168" s="231"/>
      <c r="E168" s="231"/>
      <c r="F168" s="231"/>
      <c r="G168" s="231"/>
      <c r="H168" s="231"/>
      <c r="I168" s="231"/>
      <c r="J168" s="231"/>
      <c r="K168" s="231"/>
      <c r="L168" s="231"/>
      <c r="M168" s="231"/>
      <c r="N168" s="231"/>
      <c r="O168" s="231"/>
      <c r="P168" s="231"/>
      <c r="Q168" s="231"/>
      <c r="R168" s="231"/>
      <c r="S168" s="231"/>
      <c r="T168" s="231"/>
      <c r="U168" s="231"/>
      <c r="V168" s="231"/>
      <c r="W168" s="231"/>
    </row>
    <row r="169" spans="1:23">
      <c r="A169" s="231"/>
      <c r="B169" s="231"/>
      <c r="C169" s="231"/>
      <c r="D169" s="231"/>
      <c r="E169" s="231"/>
      <c r="F169" s="231"/>
      <c r="G169" s="231"/>
      <c r="H169" s="231"/>
      <c r="I169" s="231"/>
      <c r="J169" s="231"/>
      <c r="K169" s="231"/>
      <c r="L169" s="231"/>
      <c r="M169" s="231"/>
      <c r="N169" s="231"/>
      <c r="O169" s="231"/>
      <c r="P169" s="231"/>
      <c r="Q169" s="231"/>
      <c r="R169" s="231"/>
      <c r="S169" s="231"/>
      <c r="T169" s="231"/>
      <c r="U169" s="231"/>
      <c r="V169" s="231"/>
      <c r="W169" s="231"/>
    </row>
    <row r="170" spans="1:23">
      <c r="A170" s="231"/>
      <c r="B170" s="231"/>
      <c r="C170" s="231"/>
      <c r="D170" s="231"/>
      <c r="E170" s="231"/>
      <c r="F170" s="231"/>
      <c r="G170" s="231"/>
      <c r="H170" s="231"/>
      <c r="I170" s="231"/>
      <c r="J170" s="231"/>
      <c r="K170" s="231"/>
      <c r="L170" s="231"/>
      <c r="M170" s="231"/>
      <c r="N170" s="231"/>
      <c r="O170" s="231"/>
      <c r="P170" s="231"/>
      <c r="Q170" s="231"/>
      <c r="R170" s="231"/>
      <c r="S170" s="231"/>
      <c r="T170" s="231"/>
      <c r="U170" s="231"/>
      <c r="V170" s="231"/>
      <c r="W170" s="231"/>
    </row>
    <row r="171" spans="1:23">
      <c r="A171" s="231"/>
      <c r="B171" s="231"/>
      <c r="C171" s="231"/>
      <c r="D171" s="231"/>
      <c r="E171" s="231"/>
      <c r="F171" s="231"/>
      <c r="G171" s="231"/>
      <c r="H171" s="231"/>
      <c r="I171" s="231"/>
      <c r="J171" s="231"/>
      <c r="K171" s="231"/>
      <c r="L171" s="231"/>
      <c r="M171" s="231"/>
      <c r="N171" s="231"/>
      <c r="O171" s="231"/>
      <c r="P171" s="231"/>
      <c r="Q171" s="231"/>
      <c r="R171" s="231"/>
      <c r="S171" s="231"/>
      <c r="T171" s="231"/>
      <c r="U171" s="231"/>
      <c r="V171" s="231"/>
      <c r="W171" s="231"/>
    </row>
    <row r="172" spans="1:23">
      <c r="A172" s="231"/>
      <c r="B172" s="231"/>
      <c r="C172" s="231"/>
      <c r="D172" s="231"/>
      <c r="E172" s="231"/>
      <c r="F172" s="231"/>
      <c r="G172" s="231"/>
      <c r="H172" s="231"/>
      <c r="I172" s="231"/>
      <c r="J172" s="231"/>
      <c r="K172" s="231"/>
      <c r="L172" s="231"/>
      <c r="M172" s="231"/>
      <c r="N172" s="231"/>
      <c r="O172" s="231"/>
      <c r="P172" s="231"/>
      <c r="Q172" s="231"/>
      <c r="R172" s="231"/>
      <c r="S172" s="231"/>
      <c r="T172" s="231"/>
      <c r="U172" s="231"/>
      <c r="V172" s="231"/>
      <c r="W172" s="231"/>
    </row>
    <row r="173" spans="1:23">
      <c r="A173" s="231"/>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row>
    <row r="174" spans="1:23">
      <c r="A174" s="231"/>
      <c r="B174" s="231"/>
      <c r="C174" s="231"/>
      <c r="D174" s="231"/>
      <c r="E174" s="231"/>
      <c r="F174" s="231"/>
      <c r="G174" s="231"/>
      <c r="H174" s="231"/>
      <c r="I174" s="231"/>
      <c r="J174" s="231"/>
      <c r="K174" s="231"/>
      <c r="L174" s="231"/>
      <c r="M174" s="231"/>
      <c r="N174" s="231"/>
      <c r="O174" s="231"/>
      <c r="P174" s="231"/>
      <c r="Q174" s="231"/>
      <c r="R174" s="231"/>
      <c r="S174" s="231"/>
      <c r="T174" s="231"/>
      <c r="U174" s="231"/>
      <c r="V174" s="231"/>
      <c r="W174" s="231"/>
    </row>
    <row r="175" spans="1:23">
      <c r="A175" s="231"/>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row>
    <row r="176" spans="1:23">
      <c r="A176" s="231"/>
      <c r="B176" s="231"/>
      <c r="C176" s="231"/>
      <c r="D176" s="231"/>
      <c r="E176" s="231"/>
      <c r="F176" s="231"/>
      <c r="G176" s="231"/>
      <c r="H176" s="231"/>
      <c r="I176" s="231"/>
      <c r="J176" s="231"/>
      <c r="K176" s="231"/>
      <c r="L176" s="231"/>
      <c r="M176" s="231"/>
      <c r="N176" s="231"/>
      <c r="O176" s="231"/>
      <c r="P176" s="231"/>
      <c r="Q176" s="231"/>
      <c r="R176" s="231"/>
      <c r="S176" s="231"/>
      <c r="T176" s="231"/>
      <c r="U176" s="231"/>
      <c r="V176" s="231"/>
      <c r="W176" s="231"/>
    </row>
    <row r="177" spans="1:23">
      <c r="A177" s="231"/>
      <c r="B177" s="231"/>
      <c r="C177" s="231"/>
      <c r="D177" s="231"/>
      <c r="E177" s="231"/>
      <c r="F177" s="231"/>
      <c r="G177" s="231"/>
      <c r="H177" s="231"/>
      <c r="I177" s="231"/>
      <c r="J177" s="231"/>
      <c r="K177" s="231"/>
      <c r="L177" s="231"/>
      <c r="M177" s="231"/>
      <c r="N177" s="231"/>
      <c r="O177" s="231"/>
      <c r="P177" s="231"/>
      <c r="Q177" s="231"/>
      <c r="R177" s="231"/>
      <c r="S177" s="231"/>
      <c r="T177" s="231"/>
      <c r="U177" s="231"/>
      <c r="V177" s="231"/>
      <c r="W177" s="231"/>
    </row>
    <row r="178" spans="1:23">
      <c r="A178" s="231"/>
      <c r="B178" s="231"/>
      <c r="C178" s="231"/>
      <c r="D178" s="231"/>
      <c r="E178" s="231"/>
      <c r="F178" s="231"/>
      <c r="G178" s="231"/>
      <c r="H178" s="231"/>
      <c r="I178" s="231"/>
      <c r="J178" s="231"/>
      <c r="K178" s="231"/>
      <c r="L178" s="231"/>
      <c r="M178" s="231"/>
      <c r="N178" s="231"/>
      <c r="O178" s="231"/>
      <c r="P178" s="231"/>
      <c r="Q178" s="231"/>
      <c r="R178" s="231"/>
      <c r="S178" s="231"/>
      <c r="T178" s="231"/>
      <c r="U178" s="231"/>
      <c r="V178" s="231"/>
      <c r="W178" s="231"/>
    </row>
    <row r="179" spans="1:23">
      <c r="A179" s="231"/>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row>
    <row r="180" spans="1:23">
      <c r="A180" s="231"/>
      <c r="B180" s="231"/>
      <c r="C180" s="231"/>
      <c r="D180" s="231"/>
      <c r="E180" s="231"/>
      <c r="F180" s="231"/>
      <c r="G180" s="231"/>
      <c r="H180" s="231"/>
      <c r="I180" s="231"/>
      <c r="J180" s="231"/>
      <c r="K180" s="231"/>
      <c r="L180" s="231"/>
      <c r="M180" s="231"/>
      <c r="N180" s="231"/>
      <c r="O180" s="231"/>
      <c r="P180" s="231"/>
      <c r="Q180" s="231"/>
      <c r="R180" s="231"/>
      <c r="S180" s="231"/>
      <c r="T180" s="231"/>
      <c r="U180" s="231"/>
      <c r="V180" s="231"/>
      <c r="W180" s="231"/>
    </row>
    <row r="181" spans="1:23">
      <c r="A181" s="231"/>
      <c r="B181" s="231"/>
      <c r="C181" s="231"/>
      <c r="D181" s="231"/>
      <c r="E181" s="231"/>
      <c r="F181" s="231"/>
      <c r="G181" s="231"/>
      <c r="H181" s="231"/>
      <c r="I181" s="231"/>
      <c r="J181" s="231"/>
      <c r="K181" s="231"/>
      <c r="L181" s="231"/>
      <c r="M181" s="231"/>
      <c r="N181" s="231"/>
      <c r="O181" s="231"/>
      <c r="P181" s="231"/>
      <c r="Q181" s="231"/>
      <c r="R181" s="231"/>
      <c r="S181" s="231"/>
      <c r="T181" s="231"/>
      <c r="U181" s="231"/>
      <c r="V181" s="231"/>
      <c r="W181" s="231"/>
    </row>
  </sheetData>
  <mergeCells count="6">
    <mergeCell ref="J15:M15"/>
    <mergeCell ref="J17:M17"/>
    <mergeCell ref="E17:G17"/>
    <mergeCell ref="E15:G15"/>
    <mergeCell ref="D22:G22"/>
    <mergeCell ref="C19:N1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229"/>
  <sheetViews>
    <sheetView workbookViewId="0">
      <selection activeCell="G52" sqref="G52"/>
    </sheetView>
  </sheetViews>
  <sheetFormatPr baseColWidth="10" defaultRowHeight="12.75"/>
  <cols>
    <col min="3" max="3" width="7" customWidth="1"/>
    <col min="7" max="7" width="20.7109375" customWidth="1"/>
  </cols>
  <sheetData>
    <row r="1" spans="1:38">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row>
    <row r="2" spans="1:38">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row>
    <row r="3" spans="1:38">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row>
    <row r="6" spans="1:38">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row>
    <row r="8" spans="1:38">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row>
    <row r="10" spans="1:38">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row>
    <row r="11" spans="1:38">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row>
    <row r="12" spans="1:38">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row>
    <row r="13" spans="1:38">
      <c r="A13" s="50"/>
      <c r="B13" s="107"/>
      <c r="C13" s="108"/>
      <c r="D13" s="108"/>
      <c r="E13" s="108"/>
      <c r="F13" s="108"/>
      <c r="G13" s="108"/>
      <c r="H13" s="108"/>
      <c r="I13" s="108"/>
      <c r="J13" s="108"/>
      <c r="K13" s="108"/>
      <c r="L13" s="108"/>
      <c r="M13" s="144"/>
      <c r="N13" s="52"/>
      <c r="O13" s="48"/>
      <c r="P13" s="48"/>
      <c r="Q13" s="48"/>
      <c r="R13" s="48"/>
      <c r="S13" s="48"/>
      <c r="T13" s="48"/>
      <c r="U13" s="48"/>
      <c r="V13" s="48"/>
      <c r="W13" s="48"/>
      <c r="X13" s="48"/>
      <c r="Y13" s="48"/>
      <c r="Z13" s="48"/>
      <c r="AA13" s="48"/>
      <c r="AB13" s="48"/>
    </row>
    <row r="14" spans="1:38" ht="15">
      <c r="A14" s="50"/>
      <c r="B14" s="110"/>
      <c r="C14" s="50"/>
      <c r="D14" s="49" t="s">
        <v>202</v>
      </c>
      <c r="E14" s="602" t="str">
        <f>Consumos!D15</f>
        <v>HOUSING</v>
      </c>
      <c r="F14" s="602"/>
      <c r="G14" s="602"/>
      <c r="H14" s="63"/>
      <c r="I14" s="49" t="s">
        <v>204</v>
      </c>
      <c r="J14" s="602" t="str">
        <f>Consumos!H15</f>
        <v>POLAND</v>
      </c>
      <c r="K14" s="602"/>
      <c r="L14" s="602"/>
      <c r="M14" s="145"/>
      <c r="N14" s="53"/>
      <c r="O14" s="48"/>
      <c r="P14" s="48"/>
      <c r="Q14" s="48"/>
      <c r="R14" s="48"/>
      <c r="S14" s="48"/>
      <c r="T14" s="48"/>
      <c r="U14" s="48"/>
      <c r="V14" s="48"/>
      <c r="W14" s="48"/>
      <c r="X14" s="48"/>
      <c r="Y14" s="48"/>
      <c r="Z14" s="48"/>
      <c r="AA14" s="48"/>
      <c r="AB14" s="48"/>
    </row>
    <row r="15" spans="1:38">
      <c r="A15" s="50"/>
      <c r="B15" s="110"/>
      <c r="C15" s="50"/>
      <c r="D15" s="50"/>
      <c r="E15" s="50"/>
      <c r="F15" s="50"/>
      <c r="G15" s="50"/>
      <c r="H15" s="50"/>
      <c r="I15" s="50"/>
      <c r="J15" s="50"/>
      <c r="K15" s="50"/>
      <c r="L15" s="50"/>
      <c r="M15" s="111"/>
      <c r="N15" s="50"/>
      <c r="O15" s="48"/>
      <c r="P15" s="48"/>
      <c r="Q15" s="48"/>
      <c r="R15" s="48"/>
      <c r="S15" s="48"/>
      <c r="T15" s="48"/>
      <c r="U15" s="48"/>
      <c r="V15" s="48"/>
      <c r="W15" s="48"/>
      <c r="X15" s="48"/>
      <c r="Y15" s="48"/>
      <c r="Z15" s="48"/>
      <c r="AA15" s="48"/>
      <c r="AB15" s="48"/>
    </row>
    <row r="16" spans="1:38" ht="15">
      <c r="A16" s="50"/>
      <c r="B16" s="110"/>
      <c r="C16" s="50"/>
      <c r="D16" s="49" t="s">
        <v>203</v>
      </c>
      <c r="E16" s="602" t="str">
        <f>Consumos!D17</f>
        <v>VIPSKILLS</v>
      </c>
      <c r="F16" s="602"/>
      <c r="G16" s="602"/>
      <c r="H16" s="63"/>
      <c r="I16" s="49" t="s">
        <v>205</v>
      </c>
      <c r="J16" s="603">
        <f>Consumos!H17</f>
        <v>43285</v>
      </c>
      <c r="K16" s="603"/>
      <c r="L16" s="603"/>
      <c r="M16" s="145"/>
      <c r="N16" s="53"/>
      <c r="O16" s="48"/>
      <c r="P16" s="48"/>
      <c r="Q16" s="48"/>
      <c r="R16" s="48"/>
      <c r="S16" s="48"/>
      <c r="T16" s="48"/>
      <c r="U16" s="48"/>
      <c r="V16" s="48"/>
      <c r="W16" s="48"/>
      <c r="X16" s="48"/>
      <c r="Y16" s="48"/>
      <c r="Z16" s="48"/>
      <c r="AA16" s="48"/>
      <c r="AB16" s="48"/>
    </row>
    <row r="17" spans="1:28">
      <c r="A17" s="50"/>
      <c r="B17" s="110"/>
      <c r="C17" s="50"/>
      <c r="D17" s="50"/>
      <c r="E17" s="50"/>
      <c r="F17" s="50"/>
      <c r="G17" s="50"/>
      <c r="H17" s="50"/>
      <c r="I17" s="50"/>
      <c r="J17" s="50"/>
      <c r="K17" s="50"/>
      <c r="L17" s="50"/>
      <c r="M17" s="145"/>
      <c r="N17" s="53"/>
      <c r="O17" s="48"/>
      <c r="P17" s="48"/>
      <c r="Q17" s="48"/>
      <c r="R17" s="48"/>
      <c r="S17" s="48"/>
      <c r="T17" s="48"/>
      <c r="U17" s="48"/>
      <c r="V17" s="48"/>
      <c r="W17" s="48"/>
      <c r="X17" s="48"/>
      <c r="Y17" s="48"/>
      <c r="Z17" s="48"/>
      <c r="AA17" s="48"/>
      <c r="AB17" s="48"/>
    </row>
    <row r="18" spans="1:28" ht="20.25">
      <c r="A18" s="50"/>
      <c r="B18" s="110"/>
      <c r="C18" s="605" t="s">
        <v>310</v>
      </c>
      <c r="D18" s="605"/>
      <c r="E18" s="605"/>
      <c r="F18" s="605"/>
      <c r="G18" s="605"/>
      <c r="H18" s="605"/>
      <c r="I18" s="605"/>
      <c r="J18" s="605"/>
      <c r="K18" s="605"/>
      <c r="L18" s="605"/>
      <c r="M18" s="111"/>
      <c r="N18" s="48"/>
      <c r="O18" s="48"/>
      <c r="P18" s="48"/>
      <c r="Q18" s="48"/>
      <c r="R18" s="48"/>
      <c r="S18" s="48"/>
      <c r="T18" s="48"/>
      <c r="U18" s="48"/>
      <c r="V18" s="48"/>
      <c r="W18" s="48"/>
      <c r="X18" s="48"/>
      <c r="Y18" s="48"/>
      <c r="Z18" s="48"/>
      <c r="AA18" s="48"/>
      <c r="AB18" s="48"/>
    </row>
    <row r="19" spans="1:28" ht="21" thickBot="1">
      <c r="A19" s="50"/>
      <c r="B19" s="110"/>
      <c r="C19" s="62"/>
      <c r="D19" s="50"/>
      <c r="E19" s="50"/>
      <c r="F19" s="62"/>
      <c r="G19" s="62"/>
      <c r="H19" s="62"/>
      <c r="I19" s="62"/>
      <c r="J19" s="50"/>
      <c r="K19" s="50"/>
      <c r="L19" s="50"/>
      <c r="M19" s="111"/>
      <c r="N19" s="48"/>
      <c r="O19" s="48"/>
      <c r="P19" s="48"/>
      <c r="Q19" s="48"/>
      <c r="R19" s="48"/>
      <c r="S19" s="48"/>
      <c r="T19" s="48"/>
      <c r="U19" s="48"/>
      <c r="V19" s="48"/>
      <c r="W19" s="48"/>
      <c r="X19" s="48"/>
      <c r="Y19" s="48"/>
      <c r="Z19" s="48"/>
      <c r="AA19" s="48"/>
      <c r="AB19" s="48"/>
    </row>
    <row r="20" spans="1:28" ht="21" thickBot="1">
      <c r="A20" s="50"/>
      <c r="B20" s="110"/>
      <c r="C20" s="62"/>
      <c r="D20" s="599" t="s">
        <v>311</v>
      </c>
      <c r="E20" s="600"/>
      <c r="F20" s="600"/>
      <c r="G20" s="601"/>
      <c r="H20" s="62"/>
      <c r="I20" s="604" t="s">
        <v>309</v>
      </c>
      <c r="J20" s="604"/>
      <c r="K20" s="604"/>
      <c r="L20" s="604"/>
      <c r="M20" s="111"/>
      <c r="N20" s="48"/>
      <c r="O20" s="48"/>
      <c r="P20" s="48"/>
      <c r="Q20" s="48"/>
      <c r="R20" s="48"/>
      <c r="S20" s="48"/>
      <c r="T20" s="48"/>
      <c r="U20" s="48"/>
      <c r="V20" s="48"/>
      <c r="W20" s="48"/>
      <c r="X20" s="48"/>
      <c r="Y20" s="48"/>
      <c r="Z20" s="48"/>
      <c r="AA20" s="48"/>
      <c r="AB20" s="48"/>
    </row>
    <row r="21" spans="1:28" ht="15">
      <c r="A21" s="50"/>
      <c r="B21" s="110"/>
      <c r="C21" s="50"/>
      <c r="D21" s="105" t="s">
        <v>312</v>
      </c>
      <c r="E21" s="472" t="s">
        <v>161</v>
      </c>
      <c r="F21" s="473"/>
      <c r="G21" s="473"/>
      <c r="H21" s="50"/>
      <c r="I21" s="57" t="str">
        <f>IF(E23&lt;&gt;G32,"wrong selected voltage","")</f>
        <v/>
      </c>
      <c r="J21" s="57"/>
      <c r="K21" s="57"/>
      <c r="L21" s="58"/>
      <c r="M21" s="111"/>
      <c r="N21" s="48"/>
      <c r="O21" s="48"/>
      <c r="P21" s="48"/>
      <c r="Q21" s="48"/>
      <c r="R21" s="48"/>
      <c r="S21" s="48"/>
      <c r="T21" s="48"/>
      <c r="U21" s="48"/>
      <c r="V21" s="48"/>
      <c r="W21" s="48"/>
      <c r="X21" s="48"/>
      <c r="Y21" s="48"/>
      <c r="Z21" s="48"/>
      <c r="AA21" s="48"/>
      <c r="AB21" s="48"/>
    </row>
    <row r="22" spans="1:28" ht="15">
      <c r="A22" s="50"/>
      <c r="B22" s="110"/>
      <c r="C22" s="50"/>
      <c r="D22" s="105" t="s">
        <v>287</v>
      </c>
      <c r="E22" s="474" t="s">
        <v>162</v>
      </c>
      <c r="F22" s="475"/>
      <c r="G22" s="475"/>
      <c r="H22" s="50"/>
      <c r="I22" s="57" t="str">
        <f>IF(G38&gt;1,CONCATENATE("is recomended the division of PV    ",T22,"     SUBCAMPOS"),"")</f>
        <v/>
      </c>
      <c r="J22" s="57"/>
      <c r="K22" s="57"/>
      <c r="L22" s="58"/>
      <c r="M22" s="111"/>
      <c r="N22" s="48"/>
      <c r="O22" s="48"/>
      <c r="P22" s="48"/>
      <c r="Q22" s="48"/>
      <c r="R22" s="48"/>
      <c r="S22" s="48"/>
      <c r="T22" s="552">
        <f>G38</f>
        <v>1</v>
      </c>
      <c r="U22" s="48"/>
      <c r="V22" s="48"/>
      <c r="W22" s="48"/>
      <c r="X22" s="48"/>
      <c r="Y22" s="48"/>
      <c r="Z22" s="48"/>
      <c r="AA22" s="48"/>
      <c r="AB22" s="48"/>
    </row>
    <row r="23" spans="1:28" ht="15.75" thickBot="1">
      <c r="A23" s="50"/>
      <c r="B23" s="110"/>
      <c r="C23" s="50"/>
      <c r="D23" s="105" t="s">
        <v>210</v>
      </c>
      <c r="E23" s="476">
        <v>24</v>
      </c>
      <c r="F23" s="476"/>
      <c r="G23" s="476"/>
      <c r="H23" s="50"/>
      <c r="I23" s="57" t="str">
        <f>IF(G38&gt;1,CONCATENATE("DE    ",T23,"     PARALLEL Y   ",T24,"    SERIAL"),"")</f>
        <v/>
      </c>
      <c r="J23" s="57"/>
      <c r="K23" s="57"/>
      <c r="L23" s="57"/>
      <c r="M23" s="111"/>
      <c r="N23" s="48"/>
      <c r="O23" s="48"/>
      <c r="P23" s="48"/>
      <c r="Q23" s="48"/>
      <c r="R23" s="48"/>
      <c r="S23" s="48"/>
      <c r="T23" s="552">
        <f>ROUNDUP(PV!E34/T22,0)</f>
        <v>1</v>
      </c>
      <c r="U23" s="48"/>
      <c r="V23" s="48"/>
      <c r="W23" s="48"/>
      <c r="X23" s="48"/>
      <c r="Y23" s="48"/>
      <c r="Z23" s="48"/>
      <c r="AA23" s="48"/>
      <c r="AB23" s="48"/>
    </row>
    <row r="24" spans="1:28" ht="19.5" thickBot="1">
      <c r="A24" s="50"/>
      <c r="B24" s="110"/>
      <c r="C24" s="50"/>
      <c r="D24" s="599" t="s">
        <v>313</v>
      </c>
      <c r="E24" s="600"/>
      <c r="F24" s="600"/>
      <c r="G24" s="601"/>
      <c r="H24" s="50"/>
      <c r="I24" s="57" t="str">
        <f>IF(T26=0,"",CONCATENATE("INCREASE IN    ",T26,"   PANEL/Is MORE EACH BRANCH OF PARALLELS"))</f>
        <v/>
      </c>
      <c r="J24" s="57"/>
      <c r="K24" s="57"/>
      <c r="L24" s="57"/>
      <c r="M24" s="111"/>
      <c r="N24" s="48"/>
      <c r="O24" s="48"/>
      <c r="P24" s="48"/>
      <c r="Q24" s="48"/>
      <c r="R24" s="48"/>
      <c r="S24" s="48"/>
      <c r="T24" s="552">
        <f>PV!F34</f>
        <v>1</v>
      </c>
      <c r="U24" s="48"/>
      <c r="V24" s="48"/>
      <c r="W24" s="48"/>
      <c r="X24" s="48"/>
      <c r="Y24" s="48"/>
      <c r="Z24" s="48"/>
      <c r="AA24" s="48"/>
      <c r="AB24" s="48"/>
    </row>
    <row r="25" spans="1:28" ht="15">
      <c r="A25" s="50"/>
      <c r="B25" s="110"/>
      <c r="C25" s="50"/>
      <c r="D25" s="597" t="s">
        <v>314</v>
      </c>
      <c r="E25" s="597"/>
      <c r="F25" s="598"/>
      <c r="G25" s="226" t="s">
        <v>180</v>
      </c>
      <c r="H25" s="50"/>
      <c r="I25" s="67" t="str">
        <f>IF(T26&gt;2,"THE SELECRTED REGULATOR IS NOT APROPIATED FOR SERIAL/PARALLEL CONFIGURATION","")</f>
        <v/>
      </c>
      <c r="J25" s="57"/>
      <c r="K25" s="57"/>
      <c r="L25" s="57"/>
      <c r="M25" s="111"/>
      <c r="N25" s="48"/>
      <c r="O25" s="48"/>
      <c r="P25" s="48"/>
      <c r="Q25" s="48"/>
      <c r="R25" s="48"/>
      <c r="S25" s="48"/>
      <c r="T25" s="552">
        <f>T22*T23</f>
        <v>1</v>
      </c>
      <c r="U25" s="48"/>
      <c r="V25" s="48"/>
      <c r="W25" s="48"/>
      <c r="X25" s="48"/>
      <c r="Y25" s="48"/>
      <c r="Z25" s="48"/>
      <c r="AA25" s="48"/>
      <c r="AB25" s="48"/>
    </row>
    <row r="26" spans="1:28" ht="15">
      <c r="A26" s="50"/>
      <c r="B26" s="110"/>
      <c r="C26" s="50"/>
      <c r="D26" s="592" t="s">
        <v>315</v>
      </c>
      <c r="E26" s="592"/>
      <c r="F26" s="593"/>
      <c r="G26" s="227" t="s">
        <v>180</v>
      </c>
      <c r="H26" s="50"/>
      <c r="I26" s="50"/>
      <c r="J26" s="65"/>
      <c r="K26" s="50"/>
      <c r="L26" s="50"/>
      <c r="M26" s="111"/>
      <c r="N26" s="48"/>
      <c r="O26" s="48"/>
      <c r="P26" s="48"/>
      <c r="Q26" s="48"/>
      <c r="R26" s="48"/>
      <c r="S26" s="48"/>
      <c r="T26" s="552">
        <f>T25-PV!E34</f>
        <v>0</v>
      </c>
      <c r="U26" s="48"/>
      <c r="V26" s="48"/>
      <c r="W26" s="48"/>
      <c r="X26" s="48"/>
      <c r="Y26" s="48"/>
      <c r="Z26" s="48"/>
      <c r="AA26" s="48"/>
      <c r="AB26" s="48"/>
    </row>
    <row r="27" spans="1:28" ht="15">
      <c r="A27" s="50"/>
      <c r="B27" s="110"/>
      <c r="C27" s="50"/>
      <c r="D27" s="592" t="s">
        <v>316</v>
      </c>
      <c r="E27" s="592"/>
      <c r="F27" s="593"/>
      <c r="G27" s="227" t="s">
        <v>180</v>
      </c>
      <c r="H27" s="64"/>
      <c r="I27" s="50"/>
      <c r="J27" s="63"/>
      <c r="K27" s="50"/>
      <c r="L27" s="50"/>
      <c r="M27" s="111"/>
      <c r="N27" s="48"/>
      <c r="O27" s="48"/>
      <c r="P27" s="48"/>
      <c r="Q27" s="48"/>
      <c r="R27" s="48"/>
      <c r="S27" s="48"/>
      <c r="T27" s="48"/>
      <c r="U27" s="48"/>
      <c r="V27" s="48"/>
      <c r="W27" s="48"/>
      <c r="X27" s="48"/>
      <c r="Y27" s="48"/>
      <c r="Z27" s="48"/>
      <c r="AA27" s="48"/>
      <c r="AB27" s="48"/>
    </row>
    <row r="28" spans="1:28" ht="15">
      <c r="A28" s="50"/>
      <c r="B28" s="110"/>
      <c r="C28" s="50"/>
      <c r="D28" s="592" t="s">
        <v>317</v>
      </c>
      <c r="E28" s="592"/>
      <c r="F28" s="593"/>
      <c r="G28" s="227" t="s">
        <v>180</v>
      </c>
      <c r="H28" s="50"/>
      <c r="I28" s="50"/>
      <c r="J28" s="50"/>
      <c r="K28" s="50"/>
      <c r="L28" s="50"/>
      <c r="M28" s="111"/>
      <c r="N28" s="48"/>
      <c r="O28" s="48"/>
      <c r="P28" s="48"/>
      <c r="Q28" s="48"/>
      <c r="R28" s="48"/>
      <c r="S28" s="48"/>
      <c r="T28" s="48"/>
      <c r="U28" s="48"/>
      <c r="V28" s="48"/>
      <c r="W28" s="48"/>
      <c r="X28" s="48"/>
      <c r="Y28" s="48"/>
      <c r="Z28" s="48"/>
      <c r="AA28" s="48"/>
      <c r="AB28" s="48"/>
    </row>
    <row r="29" spans="1:28" ht="15">
      <c r="A29" s="50"/>
      <c r="B29" s="110"/>
      <c r="C29" s="50"/>
      <c r="D29" s="592" t="s">
        <v>174</v>
      </c>
      <c r="E29" s="592"/>
      <c r="F29" s="593"/>
      <c r="G29" s="227" t="s">
        <v>180</v>
      </c>
      <c r="H29" s="50"/>
      <c r="I29" s="50"/>
      <c r="J29" s="50"/>
      <c r="K29" s="50"/>
      <c r="L29" s="50"/>
      <c r="M29" s="111"/>
      <c r="N29" s="48"/>
      <c r="O29" s="48"/>
      <c r="P29" s="48"/>
      <c r="Q29" s="48"/>
      <c r="R29" s="48"/>
      <c r="S29" s="48"/>
      <c r="T29" s="48"/>
      <c r="U29" s="48"/>
      <c r="V29" s="48"/>
      <c r="W29" s="48"/>
      <c r="X29" s="48"/>
      <c r="Y29" s="48"/>
      <c r="Z29" s="48"/>
      <c r="AA29" s="48"/>
      <c r="AB29" s="48"/>
    </row>
    <row r="30" spans="1:28" ht="15">
      <c r="A30" s="50"/>
      <c r="B30" s="110"/>
      <c r="C30" s="50"/>
      <c r="D30" s="592" t="s">
        <v>318</v>
      </c>
      <c r="E30" s="592"/>
      <c r="F30" s="593"/>
      <c r="G30" s="227" t="s">
        <v>180</v>
      </c>
      <c r="H30" s="50"/>
      <c r="I30" s="50"/>
      <c r="J30" s="50"/>
      <c r="K30" s="50"/>
      <c r="L30" s="50"/>
      <c r="M30" s="111"/>
      <c r="N30" s="48"/>
      <c r="O30" s="48"/>
      <c r="P30" s="48"/>
      <c r="Q30" s="48"/>
      <c r="R30" s="48"/>
      <c r="S30" s="48"/>
      <c r="T30" s="48"/>
      <c r="U30" s="48"/>
      <c r="V30" s="48"/>
      <c r="W30" s="48"/>
      <c r="X30" s="48"/>
      <c r="Y30" s="48"/>
      <c r="Z30" s="48"/>
      <c r="AA30" s="48"/>
      <c r="AB30" s="48"/>
    </row>
    <row r="31" spans="1:28" ht="19.5" thickBot="1">
      <c r="A31" s="50"/>
      <c r="B31" s="110"/>
      <c r="C31" s="50"/>
      <c r="D31" s="594" t="s">
        <v>319</v>
      </c>
      <c r="E31" s="595"/>
      <c r="F31" s="595"/>
      <c r="G31" s="596"/>
      <c r="H31" s="50"/>
      <c r="I31" s="50"/>
      <c r="J31" s="50"/>
      <c r="K31" s="50"/>
      <c r="L31" s="50"/>
      <c r="M31" s="111"/>
      <c r="N31" s="48"/>
      <c r="O31" s="48"/>
      <c r="P31" s="48"/>
      <c r="Q31" s="48"/>
      <c r="R31" s="48"/>
      <c r="S31" s="48"/>
      <c r="T31" s="48"/>
      <c r="U31" s="48"/>
      <c r="V31" s="48"/>
      <c r="W31" s="48"/>
      <c r="X31" s="48"/>
      <c r="Y31" s="48"/>
      <c r="Z31" s="48"/>
      <c r="AA31" s="48"/>
      <c r="AB31" s="48"/>
    </row>
    <row r="32" spans="1:28" ht="15">
      <c r="A32" s="50"/>
      <c r="B32" s="110"/>
      <c r="C32" s="50"/>
      <c r="D32" s="597" t="s">
        <v>210</v>
      </c>
      <c r="E32" s="597"/>
      <c r="F32" s="598"/>
      <c r="G32" s="224">
        <v>24</v>
      </c>
      <c r="H32" s="50"/>
      <c r="I32" s="50"/>
      <c r="J32" s="50"/>
      <c r="K32" s="50"/>
      <c r="L32" s="50"/>
      <c r="M32" s="111"/>
      <c r="N32" s="48"/>
      <c r="O32" s="48"/>
      <c r="P32" s="48"/>
      <c r="Q32" s="48"/>
      <c r="R32" s="48"/>
      <c r="S32" s="48"/>
      <c r="T32" s="48"/>
      <c r="U32" s="48"/>
      <c r="V32" s="48"/>
      <c r="W32" s="48"/>
      <c r="X32" s="48"/>
      <c r="Y32" s="48"/>
      <c r="Z32" s="48"/>
      <c r="AA32" s="48"/>
      <c r="AB32" s="48"/>
    </row>
    <row r="33" spans="1:28" ht="15">
      <c r="A33" s="50"/>
      <c r="B33" s="110"/>
      <c r="C33" s="50"/>
      <c r="D33" s="592" t="s">
        <v>209</v>
      </c>
      <c r="E33" s="592"/>
      <c r="F33" s="593"/>
      <c r="G33" s="225">
        <f>E38</f>
        <v>6.2624999999999993</v>
      </c>
      <c r="H33" s="59"/>
      <c r="I33" s="50"/>
      <c r="J33" s="50"/>
      <c r="K33" s="50"/>
      <c r="L33" s="50"/>
      <c r="M33" s="111"/>
      <c r="N33" s="48"/>
      <c r="O33" s="48"/>
      <c r="P33" s="48"/>
      <c r="Q33" s="48"/>
      <c r="R33" s="48"/>
      <c r="S33" s="48"/>
      <c r="T33" s="48"/>
      <c r="U33" s="48"/>
      <c r="V33" s="48"/>
      <c r="W33" s="48"/>
      <c r="X33" s="48"/>
      <c r="Y33" s="48"/>
      <c r="Z33" s="48"/>
      <c r="AA33" s="48"/>
      <c r="AB33" s="48"/>
    </row>
    <row r="34" spans="1:28" ht="15">
      <c r="A34" s="50"/>
      <c r="B34" s="110"/>
      <c r="C34" s="50"/>
      <c r="D34" s="592" t="s">
        <v>320</v>
      </c>
      <c r="E34" s="592"/>
      <c r="F34" s="593"/>
      <c r="G34" s="225">
        <f>IF('Ángulo de Inclinación'!O24=2,'Ángulo de Inclinación'!#REF!,SUM(Consumos!L33:L41))</f>
        <v>30.348210526315796</v>
      </c>
      <c r="H34" s="50"/>
      <c r="I34" s="50"/>
      <c r="J34" s="50"/>
      <c r="K34" s="50"/>
      <c r="L34" s="50"/>
      <c r="M34" s="111"/>
      <c r="N34" s="48"/>
      <c r="O34" s="48"/>
      <c r="P34" s="48"/>
      <c r="Q34" s="48"/>
      <c r="R34" s="48"/>
      <c r="S34" s="48"/>
      <c r="T34" s="48"/>
      <c r="U34" s="48"/>
      <c r="V34" s="48"/>
      <c r="W34" s="48"/>
      <c r="X34" s="48"/>
      <c r="Y34" s="48"/>
      <c r="Z34" s="48"/>
      <c r="AA34" s="48"/>
      <c r="AB34" s="48"/>
    </row>
    <row r="35" spans="1:28">
      <c r="A35" s="50"/>
      <c r="B35" s="110"/>
      <c r="C35" s="50"/>
      <c r="D35" s="50"/>
      <c r="E35" s="50"/>
      <c r="F35" s="50"/>
      <c r="G35" s="50"/>
      <c r="H35" s="50"/>
      <c r="I35" s="50"/>
      <c r="J35" s="50"/>
      <c r="K35" s="50"/>
      <c r="L35" s="50"/>
      <c r="M35" s="111"/>
      <c r="N35" s="48"/>
      <c r="O35" s="48"/>
      <c r="P35" s="48"/>
      <c r="Q35" s="48"/>
      <c r="R35" s="48"/>
      <c r="S35" s="48"/>
      <c r="T35" s="48"/>
      <c r="U35" s="48"/>
      <c r="V35" s="48"/>
      <c r="W35" s="48"/>
      <c r="X35" s="48"/>
      <c r="Y35" s="48"/>
      <c r="Z35" s="48"/>
      <c r="AA35" s="48"/>
      <c r="AB35" s="48"/>
    </row>
    <row r="36" spans="1:28">
      <c r="A36" s="50"/>
      <c r="B36" s="110"/>
      <c r="C36" s="50"/>
      <c r="D36" s="50"/>
      <c r="E36" s="50"/>
      <c r="F36" s="50"/>
      <c r="G36" s="50"/>
      <c r="H36" s="50"/>
      <c r="I36" s="50"/>
      <c r="J36" s="50"/>
      <c r="K36" s="50"/>
      <c r="L36" s="50"/>
      <c r="M36" s="111"/>
      <c r="N36" s="48"/>
      <c r="O36" s="48"/>
      <c r="P36" s="48"/>
      <c r="Q36" s="48"/>
      <c r="R36" s="48"/>
      <c r="S36" s="48"/>
      <c r="T36" s="48"/>
      <c r="U36" s="48"/>
      <c r="V36" s="48"/>
      <c r="W36" s="48"/>
      <c r="X36" s="48"/>
      <c r="Y36" s="48"/>
      <c r="Z36" s="48"/>
      <c r="AA36" s="48"/>
      <c r="AB36" s="48"/>
    </row>
    <row r="37" spans="1:28" ht="38.25">
      <c r="A37" s="50"/>
      <c r="B37" s="110"/>
      <c r="C37" s="50"/>
      <c r="D37" s="45" t="s">
        <v>321</v>
      </c>
      <c r="E37" s="46" t="s">
        <v>322</v>
      </c>
      <c r="F37" s="120" t="s">
        <v>323</v>
      </c>
      <c r="G37" s="47" t="s">
        <v>324</v>
      </c>
      <c r="H37" s="50"/>
      <c r="I37" s="50"/>
      <c r="J37" s="50"/>
      <c r="K37" s="50"/>
      <c r="L37" s="50"/>
      <c r="M37" s="111"/>
      <c r="N37" s="48"/>
      <c r="O37" s="48"/>
      <c r="P37" s="48"/>
      <c r="Q37" s="48"/>
      <c r="R37" s="48"/>
      <c r="S37" s="48"/>
      <c r="T37" s="48"/>
      <c r="U37" s="48"/>
      <c r="V37" s="48"/>
      <c r="W37" s="48"/>
      <c r="X37" s="48"/>
      <c r="Y37" s="48"/>
      <c r="Z37" s="48"/>
      <c r="AA37" s="48"/>
      <c r="AB37" s="48"/>
    </row>
    <row r="38" spans="1:28" ht="15.75">
      <c r="A38" s="50"/>
      <c r="B38" s="110"/>
      <c r="C38" s="50"/>
      <c r="D38" s="28">
        <f>PV!E34*PV!G27</f>
        <v>5.01</v>
      </c>
      <c r="E38" s="28">
        <f>D38*1.25</f>
        <v>6.2624999999999993</v>
      </c>
      <c r="F38" s="151">
        <v>60</v>
      </c>
      <c r="G38" s="43">
        <f>ROUNDUP(IF(F38=0,0,E38/F38),0)</f>
        <v>1</v>
      </c>
      <c r="H38" s="50"/>
      <c r="I38" s="50"/>
      <c r="J38" s="50"/>
      <c r="K38" s="50"/>
      <c r="L38" s="50"/>
      <c r="M38" s="111"/>
      <c r="N38" s="48"/>
      <c r="O38" s="48"/>
      <c r="P38" s="48"/>
      <c r="Q38" s="48"/>
      <c r="R38" s="48"/>
      <c r="S38" s="48"/>
      <c r="T38" s="48"/>
      <c r="U38" s="48"/>
      <c r="V38" s="48"/>
      <c r="W38" s="48"/>
      <c r="X38" s="48"/>
      <c r="Y38" s="48"/>
      <c r="Z38" s="48"/>
      <c r="AA38" s="48"/>
      <c r="AB38" s="48"/>
    </row>
    <row r="39" spans="1:28">
      <c r="A39" s="50"/>
      <c r="B39" s="114"/>
      <c r="C39" s="115"/>
      <c r="D39" s="115"/>
      <c r="E39" s="115"/>
      <c r="F39" s="115"/>
      <c r="G39" s="115"/>
      <c r="H39" s="115"/>
      <c r="I39" s="115"/>
      <c r="J39" s="115"/>
      <c r="K39" s="115"/>
      <c r="L39" s="115"/>
      <c r="M39" s="116"/>
      <c r="N39" s="48"/>
      <c r="O39" s="48"/>
      <c r="P39" s="48"/>
      <c r="Q39" s="48"/>
      <c r="R39" s="48"/>
      <c r="S39" s="48"/>
      <c r="T39" s="48"/>
      <c r="U39" s="48"/>
      <c r="V39" s="48"/>
      <c r="W39" s="48"/>
      <c r="X39" s="48"/>
      <c r="Y39" s="48"/>
      <c r="Z39" s="48"/>
      <c r="AA39" s="48"/>
      <c r="AB39" s="48"/>
    </row>
    <row r="40" spans="1:28">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spans="1:28">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row>
    <row r="42" spans="1:28">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row>
    <row r="43" spans="1:28">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1:28">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row>
    <row r="45" spans="1:28">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6" spans="1:28">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row>
    <row r="47" spans="1:28">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row>
    <row r="48" spans="1:28">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row>
    <row r="49" spans="1:28">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row>
    <row r="50" spans="1:28">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row>
    <row r="51" spans="1:28">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row>
    <row r="52" spans="1:28">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row>
    <row r="53" spans="1:28">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row>
    <row r="54" spans="1:28">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row>
    <row r="55" spans="1:28">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row>
    <row r="56" spans="1:28">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row>
    <row r="57" spans="1:28">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row>
    <row r="58" spans="1:28">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row>
    <row r="59" spans="1:28">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row>
    <row r="60" spans="1:28">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row>
    <row r="61" spans="1:28">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row>
    <row r="62" spans="1:28">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row>
    <row r="63" spans="1:28">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row>
    <row r="64" spans="1:28">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row>
    <row r="65" spans="1:28">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row>
    <row r="66" spans="1:28">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row>
    <row r="67" spans="1:28">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row>
    <row r="68" spans="1:28">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row>
    <row r="69" spans="1:28">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row>
    <row r="70" spans="1:28">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row>
    <row r="71" spans="1:28">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row>
    <row r="72" spans="1:28">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row>
    <row r="73" spans="1:28">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row>
    <row r="74" spans="1:28">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row>
    <row r="75" spans="1:28">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row>
    <row r="76" spans="1:28">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row>
    <row r="77" spans="1:28">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row>
    <row r="78" spans="1:28">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row>
    <row r="79" spans="1:28">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row>
    <row r="80" spans="1:28">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row>
    <row r="81" spans="1:28">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row>
    <row r="82" spans="1:28">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row>
    <row r="83" spans="1:28">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row>
    <row r="84" spans="1:28">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row>
    <row r="85" spans="1:28">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row>
    <row r="86" spans="1:28">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row>
    <row r="87" spans="1:28">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row>
    <row r="88" spans="1:28">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row>
    <row r="89" spans="1:28">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row>
    <row r="90" spans="1:28">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row>
    <row r="91" spans="1:28">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row>
    <row r="92" spans="1:28">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row>
    <row r="93" spans="1:28">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row>
    <row r="94" spans="1:28">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row>
    <row r="95" spans="1:28">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row>
    <row r="96" spans="1:28">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row>
    <row r="97" spans="1:28">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row>
    <row r="98" spans="1:28">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row>
    <row r="99" spans="1:28">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row>
    <row r="100" spans="1:28">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row>
    <row r="101" spans="1:28">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row>
    <row r="102" spans="1:28">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row>
    <row r="103" spans="1:28">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row>
    <row r="104" spans="1:28">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row>
    <row r="105" spans="1:28">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row>
    <row r="106" spans="1:28">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row>
    <row r="107" spans="1:28">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row>
    <row r="108" spans="1:28">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row>
    <row r="109" spans="1:28">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row>
    <row r="110" spans="1:28">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row>
    <row r="111" spans="1:28">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row>
    <row r="112" spans="1:28">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row>
    <row r="113" spans="1:28">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row>
    <row r="114" spans="1:28">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row>
    <row r="115" spans="1:28">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row>
    <row r="116" spans="1:28">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row>
    <row r="117" spans="1:28">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row>
    <row r="118" spans="1:28">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row>
    <row r="119" spans="1:28">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row>
    <row r="120" spans="1:28">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row>
    <row r="121" spans="1:28">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row>
    <row r="122" spans="1:28">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row>
    <row r="123" spans="1:28">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row>
    <row r="124" spans="1:28">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row>
    <row r="125" spans="1:28">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row>
    <row r="126" spans="1:28">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row>
    <row r="127" spans="1:28">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row>
    <row r="128" spans="1:28">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row>
    <row r="129" spans="1:28">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row>
    <row r="131" spans="1:28">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row>
    <row r="132" spans="1:28">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row>
    <row r="133" spans="1:28">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row>
    <row r="134" spans="1:28">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row>
    <row r="135" spans="1:28">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row>
    <row r="136" spans="1:28">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row>
    <row r="137" spans="1:28">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row>
    <row r="138" spans="1:28">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row>
    <row r="139" spans="1:28">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row>
    <row r="140" spans="1:28">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row>
    <row r="141" spans="1:28">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row>
    <row r="142" spans="1:28">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row>
    <row r="143" spans="1:28">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row>
    <row r="144" spans="1:28">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row>
    <row r="145" spans="1:28">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row>
    <row r="146" spans="1:28">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row>
    <row r="147" spans="1:28">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row>
    <row r="148" spans="1:28">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row>
    <row r="149" spans="1:28">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row>
    <row r="150" spans="1:28">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row>
    <row r="151" spans="1:28">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row>
    <row r="152" spans="1:28">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row>
    <row r="153" spans="1:28">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row>
    <row r="154" spans="1:28">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row>
    <row r="155" spans="1:28">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row>
    <row r="157" spans="1:28">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spans="1:28">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row>
    <row r="159" spans="1:28">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spans="1:28">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spans="1:28">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row>
    <row r="162" spans="1:28">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row>
    <row r="163" spans="1:28">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spans="1:28">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spans="1:28">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spans="1:28">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spans="1:28">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spans="1:28">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spans="1:28">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spans="1:28">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spans="1:28">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spans="1:28">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spans="1:28">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spans="1:28">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spans="1:28">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spans="1:28">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spans="1:28">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spans="1:28">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spans="1:28">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spans="1:28">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spans="1:28">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spans="1:28">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spans="1:28">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spans="1:28">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spans="1:28">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spans="1:28">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spans="1:28">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spans="1:28">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row>
    <row r="191" spans="1:28">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row>
    <row r="192" spans="1:28">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row>
    <row r="193" spans="1:28">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row>
    <row r="194" spans="1:28">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row>
    <row r="195" spans="1:28">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row>
    <row r="196" spans="1:28">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row>
    <row r="197" spans="1:28">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row>
    <row r="198" spans="1:28">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row>
    <row r="199" spans="1:28">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row>
    <row r="200" spans="1:28">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row>
    <row r="201" spans="1:28">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row>
    <row r="202" spans="1:28">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row>
    <row r="203" spans="1:28">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row>
    <row r="204" spans="1:28">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row>
    <row r="205" spans="1:28">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row>
    <row r="206" spans="1:28">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row>
    <row r="207" spans="1:28">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row>
    <row r="208" spans="1:28">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row>
    <row r="209" spans="1:28">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row>
    <row r="210" spans="1:28">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row>
    <row r="211" spans="1:28">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row>
    <row r="212" spans="1:28">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row>
    <row r="213" spans="1:28">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row>
    <row r="214" spans="1:28">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row>
    <row r="215" spans="1:28">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row>
    <row r="216" spans="1:28">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row>
    <row r="217" spans="1:28">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row>
    <row r="218" spans="1:28">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row>
    <row r="219" spans="1:28">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row>
    <row r="220" spans="1:28">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row>
    <row r="221" spans="1:28">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row>
    <row r="222" spans="1:28">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row>
    <row r="223" spans="1:28">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row>
    <row r="224" spans="1:28">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row>
    <row r="225" spans="1:28">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row>
    <row r="226" spans="1:28">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row>
    <row r="227" spans="1:28">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row>
    <row r="228" spans="1:28">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row>
    <row r="229" spans="1:28">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row>
  </sheetData>
  <mergeCells count="18">
    <mergeCell ref="D29:F29"/>
    <mergeCell ref="E14:G14"/>
    <mergeCell ref="E16:G16"/>
    <mergeCell ref="J14:L14"/>
    <mergeCell ref="J16:L16"/>
    <mergeCell ref="I20:L20"/>
    <mergeCell ref="C18:L18"/>
    <mergeCell ref="D20:G20"/>
    <mergeCell ref="D24:G24"/>
    <mergeCell ref="D25:F25"/>
    <mergeCell ref="D26:F26"/>
    <mergeCell ref="D27:F27"/>
    <mergeCell ref="D28:F28"/>
    <mergeCell ref="D30:F30"/>
    <mergeCell ref="D31:G31"/>
    <mergeCell ref="D32:F32"/>
    <mergeCell ref="D33:F33"/>
    <mergeCell ref="D34:F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47"/>
  <sheetViews>
    <sheetView workbookViewId="0">
      <selection activeCell="G61" sqref="G61"/>
    </sheetView>
  </sheetViews>
  <sheetFormatPr baseColWidth="10" defaultRowHeight="12.75"/>
  <cols>
    <col min="3" max="3" width="29.140625" customWidth="1"/>
    <col min="7" max="7" width="29.5703125" customWidth="1"/>
    <col min="8" max="8" width="18.5703125" customWidth="1"/>
  </cols>
  <sheetData>
    <row r="1" spans="1:22">
      <c r="A1" s="48"/>
      <c r="B1" s="48"/>
      <c r="C1" s="48"/>
      <c r="D1" s="48"/>
      <c r="E1" s="48"/>
      <c r="F1" s="48"/>
      <c r="G1" s="48"/>
      <c r="H1" s="48"/>
      <c r="I1" s="48"/>
      <c r="J1" s="48"/>
      <c r="K1" s="48"/>
      <c r="L1" s="48"/>
      <c r="M1" s="48"/>
      <c r="N1" s="48"/>
      <c r="O1" s="48"/>
      <c r="P1" s="48"/>
      <c r="Q1" s="48"/>
      <c r="R1" s="48"/>
      <c r="S1" s="48"/>
      <c r="T1" s="48"/>
      <c r="U1" s="48"/>
      <c r="V1" s="48"/>
    </row>
    <row r="2" spans="1:22">
      <c r="A2" s="48"/>
      <c r="B2" s="48"/>
      <c r="C2" s="48"/>
      <c r="D2" s="48"/>
      <c r="E2" s="48"/>
      <c r="F2" s="48"/>
      <c r="G2" s="48"/>
      <c r="H2" s="48"/>
      <c r="I2" s="48"/>
      <c r="J2" s="48"/>
      <c r="K2" s="48"/>
      <c r="L2" s="48"/>
      <c r="M2" s="48"/>
      <c r="N2" s="48"/>
      <c r="O2" s="48"/>
      <c r="P2" s="48"/>
      <c r="Q2" s="48"/>
      <c r="R2" s="48"/>
      <c r="S2" s="48"/>
      <c r="T2" s="48"/>
      <c r="U2" s="48"/>
      <c r="V2" s="48"/>
    </row>
    <row r="3" spans="1:22">
      <c r="A3" s="48"/>
      <c r="B3" s="48"/>
      <c r="C3" s="48"/>
      <c r="D3" s="48"/>
      <c r="E3" s="48"/>
      <c r="F3" s="48"/>
      <c r="G3" s="48"/>
      <c r="H3" s="48"/>
      <c r="I3" s="48"/>
      <c r="J3" s="48"/>
      <c r="K3" s="48"/>
      <c r="L3" s="48"/>
      <c r="M3" s="48"/>
      <c r="N3" s="48"/>
      <c r="O3" s="48"/>
      <c r="P3" s="48"/>
      <c r="Q3" s="48"/>
      <c r="R3" s="48"/>
      <c r="S3" s="48"/>
      <c r="T3" s="48"/>
      <c r="U3" s="48"/>
      <c r="V3" s="48"/>
    </row>
    <row r="4" spans="1:22">
      <c r="A4" s="48"/>
      <c r="B4" s="48"/>
      <c r="C4" s="48"/>
      <c r="D4" s="48"/>
      <c r="E4" s="48"/>
      <c r="F4" s="48"/>
      <c r="G4" s="48"/>
      <c r="H4" s="48"/>
      <c r="I4" s="48"/>
      <c r="J4" s="48"/>
      <c r="K4" s="48"/>
      <c r="L4" s="48"/>
      <c r="M4" s="48"/>
      <c r="N4" s="48"/>
      <c r="O4" s="48"/>
      <c r="P4" s="48"/>
      <c r="Q4" s="48"/>
      <c r="R4" s="48"/>
      <c r="S4" s="48"/>
      <c r="T4" s="48"/>
      <c r="U4" s="48"/>
      <c r="V4" s="48"/>
    </row>
    <row r="5" spans="1:22">
      <c r="A5" s="48"/>
      <c r="B5" s="48"/>
      <c r="C5" s="48"/>
      <c r="D5" s="48"/>
      <c r="E5" s="48"/>
      <c r="F5" s="48"/>
      <c r="G5" s="48"/>
      <c r="H5" s="48"/>
      <c r="I5" s="48"/>
      <c r="J5" s="48"/>
      <c r="K5" s="48"/>
      <c r="L5" s="48"/>
      <c r="M5" s="48"/>
      <c r="N5" s="48"/>
      <c r="O5" s="48"/>
      <c r="P5" s="48"/>
      <c r="Q5" s="48"/>
      <c r="R5" s="48"/>
      <c r="S5" s="48"/>
      <c r="T5" s="48"/>
      <c r="U5" s="48"/>
      <c r="V5" s="48"/>
    </row>
    <row r="6" spans="1:22">
      <c r="A6" s="48"/>
      <c r="B6" s="48"/>
      <c r="C6" s="48"/>
      <c r="D6" s="48"/>
      <c r="E6" s="48"/>
      <c r="F6" s="48"/>
      <c r="G6" s="48"/>
      <c r="H6" s="48"/>
      <c r="I6" s="48"/>
      <c r="J6" s="48"/>
      <c r="K6" s="48"/>
      <c r="L6" s="48"/>
      <c r="M6" s="48"/>
      <c r="N6" s="48"/>
      <c r="O6" s="48"/>
      <c r="P6" s="48"/>
      <c r="Q6" s="48"/>
      <c r="R6" s="48"/>
      <c r="S6" s="48"/>
      <c r="T6" s="48"/>
      <c r="U6" s="48"/>
      <c r="V6" s="48"/>
    </row>
    <row r="7" spans="1:22">
      <c r="A7" s="48"/>
      <c r="B7" s="48"/>
      <c r="C7" s="48"/>
      <c r="D7" s="48"/>
      <c r="E7" s="48"/>
      <c r="F7" s="48"/>
      <c r="G7" s="48"/>
      <c r="H7" s="48"/>
      <c r="I7" s="48"/>
      <c r="J7" s="48"/>
      <c r="K7" s="48"/>
      <c r="L7" s="48"/>
      <c r="M7" s="48"/>
      <c r="N7" s="48"/>
      <c r="O7" s="48"/>
      <c r="P7" s="48"/>
      <c r="Q7" s="48"/>
      <c r="R7" s="48"/>
      <c r="S7" s="48"/>
      <c r="T7" s="48"/>
      <c r="U7" s="48"/>
      <c r="V7" s="48"/>
    </row>
    <row r="8" spans="1:22">
      <c r="A8" s="48"/>
      <c r="B8" s="48"/>
      <c r="C8" s="48"/>
      <c r="D8" s="48"/>
      <c r="E8" s="48"/>
      <c r="F8" s="48"/>
      <c r="G8" s="48"/>
      <c r="H8" s="48"/>
      <c r="I8" s="48"/>
      <c r="J8" s="48"/>
      <c r="K8" s="48"/>
      <c r="L8" s="48"/>
      <c r="M8" s="48"/>
      <c r="N8" s="48"/>
      <c r="O8" s="48"/>
      <c r="P8" s="48"/>
      <c r="Q8" s="48"/>
      <c r="R8" s="48"/>
      <c r="S8" s="48"/>
      <c r="T8" s="48"/>
      <c r="U8" s="48"/>
      <c r="V8" s="48"/>
    </row>
    <row r="9" spans="1:22">
      <c r="A9" s="48"/>
      <c r="B9" s="48"/>
      <c r="C9" s="48"/>
      <c r="D9" s="48"/>
      <c r="E9" s="48"/>
      <c r="F9" s="48"/>
      <c r="G9" s="48"/>
      <c r="H9" s="48"/>
      <c r="I9" s="48"/>
      <c r="J9" s="48"/>
      <c r="K9" s="48"/>
      <c r="L9" s="48"/>
      <c r="M9" s="48"/>
      <c r="N9" s="48"/>
      <c r="O9" s="48"/>
      <c r="P9" s="48"/>
      <c r="Q9" s="48"/>
      <c r="R9" s="48"/>
      <c r="S9" s="48"/>
      <c r="T9" s="48"/>
      <c r="U9" s="48"/>
      <c r="V9" s="48"/>
    </row>
    <row r="10" spans="1:22">
      <c r="A10" s="48"/>
      <c r="B10" s="48"/>
      <c r="C10" s="48"/>
      <c r="D10" s="48"/>
      <c r="E10" s="48"/>
      <c r="F10" s="48"/>
      <c r="G10" s="48"/>
      <c r="H10" s="48"/>
      <c r="I10" s="48"/>
      <c r="J10" s="48"/>
      <c r="K10" s="48"/>
      <c r="L10" s="48"/>
      <c r="M10" s="48"/>
      <c r="N10" s="48"/>
      <c r="O10" s="48"/>
      <c r="P10" s="48"/>
      <c r="Q10" s="48"/>
      <c r="R10" s="48"/>
      <c r="S10" s="48"/>
      <c r="T10" s="48"/>
      <c r="U10" s="48"/>
      <c r="V10" s="48"/>
    </row>
    <row r="11" spans="1:22">
      <c r="A11" s="48"/>
      <c r="B11" s="48"/>
      <c r="C11" s="48"/>
      <c r="D11" s="48"/>
      <c r="E11" s="48"/>
      <c r="F11" s="48"/>
      <c r="G11" s="48"/>
      <c r="H11" s="48"/>
      <c r="I11" s="48"/>
      <c r="J11" s="48"/>
      <c r="K11" s="48"/>
      <c r="L11" s="48"/>
      <c r="M11" s="48"/>
      <c r="N11" s="48"/>
      <c r="O11" s="48"/>
      <c r="P11" s="48"/>
      <c r="Q11" s="48"/>
      <c r="R11" s="48"/>
      <c r="S11" s="48"/>
      <c r="T11" s="48"/>
      <c r="U11" s="48"/>
      <c r="V11" s="48"/>
    </row>
    <row r="12" spans="1:22">
      <c r="A12" s="48"/>
      <c r="B12" s="48"/>
      <c r="C12" s="48"/>
      <c r="D12" s="48"/>
      <c r="E12" s="48"/>
      <c r="F12" s="48"/>
      <c r="G12" s="48"/>
      <c r="H12" s="48"/>
      <c r="I12" s="48"/>
      <c r="J12" s="48"/>
      <c r="K12" s="48"/>
      <c r="L12" s="48"/>
      <c r="M12" s="48"/>
      <c r="N12" s="48"/>
      <c r="O12" s="48"/>
      <c r="P12" s="48"/>
      <c r="Q12" s="48"/>
      <c r="R12" s="48"/>
      <c r="S12" s="48"/>
      <c r="T12" s="48"/>
      <c r="U12" s="48"/>
      <c r="V12" s="48"/>
    </row>
    <row r="13" spans="1:22">
      <c r="A13" s="48"/>
      <c r="B13" s="48"/>
      <c r="C13" s="48"/>
      <c r="D13" s="48"/>
      <c r="E13" s="48"/>
      <c r="F13" s="48"/>
      <c r="G13" s="48"/>
      <c r="H13" s="48"/>
      <c r="I13" s="48"/>
      <c r="J13" s="48"/>
      <c r="K13" s="48"/>
      <c r="L13" s="48"/>
      <c r="M13" s="48"/>
      <c r="N13" s="48"/>
      <c r="O13" s="48"/>
      <c r="P13" s="48"/>
      <c r="Q13" s="48"/>
      <c r="R13" s="48"/>
      <c r="S13" s="48"/>
      <c r="T13" s="48"/>
      <c r="U13" s="48"/>
      <c r="V13" s="48"/>
    </row>
    <row r="14" spans="1:22">
      <c r="A14" s="48"/>
      <c r="B14" s="107"/>
      <c r="C14" s="138"/>
      <c r="D14" s="138"/>
      <c r="E14" s="138"/>
      <c r="F14" s="138"/>
      <c r="G14" s="138"/>
      <c r="H14" s="138"/>
      <c r="I14" s="138"/>
      <c r="J14" s="138"/>
      <c r="K14" s="138"/>
      <c r="L14" s="138"/>
      <c r="M14" s="138"/>
      <c r="N14" s="109"/>
      <c r="O14" s="48"/>
      <c r="P14" s="48"/>
      <c r="Q14" s="48"/>
      <c r="R14" s="48"/>
      <c r="S14" s="48"/>
      <c r="T14" s="48"/>
      <c r="U14" s="48"/>
      <c r="V14" s="48"/>
    </row>
    <row r="15" spans="1:22" ht="15">
      <c r="A15" s="50"/>
      <c r="B15" s="113"/>
      <c r="C15" s="49" t="s">
        <v>202</v>
      </c>
      <c r="D15" s="602" t="str">
        <f>Consumos!D15</f>
        <v>HOUSING</v>
      </c>
      <c r="E15" s="602"/>
      <c r="F15" s="602"/>
      <c r="G15" s="63"/>
      <c r="H15" s="49" t="s">
        <v>204</v>
      </c>
      <c r="I15" s="602" t="str">
        <f>Consumos!H15</f>
        <v>POLAND</v>
      </c>
      <c r="J15" s="602"/>
      <c r="K15" s="602"/>
      <c r="L15" s="53"/>
      <c r="M15" s="53"/>
      <c r="N15" s="111"/>
      <c r="O15" s="48"/>
      <c r="P15" s="48"/>
      <c r="Q15" s="48"/>
      <c r="R15" s="48"/>
      <c r="S15" s="48"/>
      <c r="T15" s="48"/>
      <c r="U15" s="48"/>
      <c r="V15" s="48"/>
    </row>
    <row r="16" spans="1:22">
      <c r="A16" s="50"/>
      <c r="B16" s="113"/>
      <c r="C16" s="50"/>
      <c r="D16" s="50"/>
      <c r="E16" s="50"/>
      <c r="F16" s="50"/>
      <c r="G16" s="50"/>
      <c r="H16" s="50"/>
      <c r="I16" s="50"/>
      <c r="J16" s="50"/>
      <c r="K16" s="50"/>
      <c r="L16" s="50"/>
      <c r="M16" s="50"/>
      <c r="N16" s="111"/>
      <c r="O16" s="48"/>
      <c r="P16" s="48"/>
      <c r="Q16" s="48"/>
      <c r="R16" s="48"/>
      <c r="S16" s="48"/>
      <c r="T16" s="48"/>
      <c r="U16" s="48"/>
      <c r="V16" s="48"/>
    </row>
    <row r="17" spans="1:22" ht="15">
      <c r="A17" s="50"/>
      <c r="B17" s="113"/>
      <c r="C17" s="49" t="s">
        <v>203</v>
      </c>
      <c r="D17" s="602" t="str">
        <f>Consumos!D17</f>
        <v>VIPSKILLS</v>
      </c>
      <c r="E17" s="602"/>
      <c r="F17" s="602"/>
      <c r="G17" s="63"/>
      <c r="H17" s="49" t="s">
        <v>205</v>
      </c>
      <c r="I17" s="603">
        <f>Consumos!H17</f>
        <v>43285</v>
      </c>
      <c r="J17" s="603"/>
      <c r="K17" s="603"/>
      <c r="L17" s="53"/>
      <c r="M17" s="53"/>
      <c r="N17" s="111"/>
      <c r="O17" s="48"/>
      <c r="P17" s="48"/>
      <c r="Q17" s="48"/>
      <c r="R17" s="48"/>
      <c r="S17" s="48"/>
      <c r="T17" s="48"/>
      <c r="U17" s="48"/>
      <c r="V17" s="48"/>
    </row>
    <row r="18" spans="1:22">
      <c r="A18" s="50"/>
      <c r="B18" s="113"/>
      <c r="C18" s="50"/>
      <c r="D18" s="103"/>
      <c r="E18" s="103"/>
      <c r="F18" s="103"/>
      <c r="G18" s="63"/>
      <c r="H18" s="50"/>
      <c r="I18" s="103"/>
      <c r="J18" s="103"/>
      <c r="K18" s="103"/>
      <c r="L18" s="53"/>
      <c r="M18" s="53"/>
      <c r="N18" s="111"/>
      <c r="O18" s="48"/>
      <c r="P18" s="48"/>
      <c r="Q18" s="48"/>
      <c r="R18" s="48"/>
      <c r="S18" s="48"/>
      <c r="T18" s="48"/>
      <c r="U18" s="48"/>
      <c r="V18" s="48"/>
    </row>
    <row r="19" spans="1:22" ht="20.25">
      <c r="A19" s="50"/>
      <c r="B19" s="113"/>
      <c r="C19" s="605" t="s">
        <v>325</v>
      </c>
      <c r="D19" s="605"/>
      <c r="E19" s="605"/>
      <c r="F19" s="605"/>
      <c r="G19" s="605"/>
      <c r="H19" s="605"/>
      <c r="I19" s="605"/>
      <c r="J19" s="605"/>
      <c r="K19" s="605"/>
      <c r="L19" s="50"/>
      <c r="M19" s="50"/>
      <c r="N19" s="111"/>
      <c r="O19" s="48"/>
      <c r="P19" s="48"/>
      <c r="Q19" s="48"/>
      <c r="R19" s="48"/>
      <c r="S19" s="48"/>
      <c r="T19" s="48"/>
      <c r="U19" s="48"/>
      <c r="V19" s="48"/>
    </row>
    <row r="20" spans="1:22" ht="15">
      <c r="A20" s="50"/>
      <c r="B20" s="113"/>
      <c r="C20" s="50"/>
      <c r="D20" s="484" t="s">
        <v>352</v>
      </c>
      <c r="E20" s="484"/>
      <c r="F20" s="484"/>
      <c r="G20" s="484"/>
      <c r="H20" s="50"/>
      <c r="I20" s="50"/>
      <c r="J20" s="50"/>
      <c r="K20" s="50"/>
      <c r="L20" s="50"/>
      <c r="M20" s="50"/>
      <c r="N20" s="111"/>
      <c r="O20" s="48"/>
      <c r="P20" s="48"/>
      <c r="Q20" s="48"/>
      <c r="R20" s="48"/>
      <c r="S20" s="48"/>
      <c r="T20" s="48"/>
      <c r="U20" s="48"/>
      <c r="V20" s="48"/>
    </row>
    <row r="21" spans="1:22" ht="13.5" thickBot="1">
      <c r="A21" s="50"/>
      <c r="B21" s="113"/>
      <c r="C21" s="50"/>
      <c r="D21" s="50"/>
      <c r="E21" s="50"/>
      <c r="F21" s="50"/>
      <c r="G21" s="50"/>
      <c r="H21" s="50"/>
      <c r="I21" s="50"/>
      <c r="J21" s="50"/>
      <c r="K21" s="50"/>
      <c r="L21" s="50"/>
      <c r="M21" s="50"/>
      <c r="N21" s="111"/>
      <c r="O21" s="48"/>
      <c r="P21" s="48"/>
      <c r="Q21" s="48"/>
      <c r="R21" s="48"/>
      <c r="S21" s="48"/>
      <c r="T21" s="48"/>
      <c r="U21" s="48"/>
      <c r="V21" s="48"/>
    </row>
    <row r="22" spans="1:22" ht="19.5" thickBot="1">
      <c r="A22" s="50"/>
      <c r="B22" s="113"/>
      <c r="C22" s="599" t="s">
        <v>326</v>
      </c>
      <c r="D22" s="600"/>
      <c r="E22" s="601"/>
      <c r="F22" s="66"/>
      <c r="G22" s="599" t="s">
        <v>327</v>
      </c>
      <c r="H22" s="600"/>
      <c r="I22" s="601"/>
      <c r="J22" s="59"/>
      <c r="K22" s="485"/>
      <c r="L22" s="485"/>
      <c r="M22" s="485"/>
      <c r="N22" s="111"/>
      <c r="O22" s="48"/>
      <c r="P22" s="48"/>
      <c r="Q22" s="48"/>
      <c r="R22" s="48"/>
      <c r="S22" s="48"/>
      <c r="T22" s="48"/>
      <c r="U22" s="48"/>
      <c r="V22" s="48"/>
    </row>
    <row r="23" spans="1:22" ht="15">
      <c r="A23" s="50"/>
      <c r="B23" s="113"/>
      <c r="C23" s="105" t="s">
        <v>328</v>
      </c>
      <c r="D23" s="483">
        <v>1</v>
      </c>
      <c r="E23" s="473"/>
      <c r="F23" s="50"/>
      <c r="G23" s="105" t="s">
        <v>336</v>
      </c>
      <c r="H23" s="482" t="s">
        <v>163</v>
      </c>
      <c r="I23" s="473"/>
      <c r="J23" s="50"/>
      <c r="K23" s="80"/>
      <c r="L23" s="80"/>
      <c r="M23" s="80"/>
      <c r="N23" s="111"/>
      <c r="O23" s="48"/>
      <c r="P23" s="48"/>
      <c r="Q23" s="409" t="s">
        <v>68</v>
      </c>
      <c r="R23" s="409">
        <v>6</v>
      </c>
      <c r="S23" s="409">
        <v>120</v>
      </c>
      <c r="T23" s="409" t="s">
        <v>66</v>
      </c>
      <c r="U23" s="409">
        <f>Baterías!E38/5</f>
        <v>120</v>
      </c>
      <c r="V23" s="48"/>
    </row>
    <row r="24" spans="1:22" ht="15">
      <c r="A24" s="50"/>
      <c r="B24" s="113"/>
      <c r="C24" s="105" t="s">
        <v>329</v>
      </c>
      <c r="D24" s="481">
        <v>4</v>
      </c>
      <c r="E24" s="481"/>
      <c r="F24" s="64"/>
      <c r="G24" s="105" t="s">
        <v>337</v>
      </c>
      <c r="H24" s="480" t="s">
        <v>164</v>
      </c>
      <c r="I24" s="481"/>
      <c r="J24" s="50"/>
      <c r="K24" s="80"/>
      <c r="L24" s="80"/>
      <c r="M24" s="80"/>
      <c r="N24" s="111"/>
      <c r="O24" s="48"/>
      <c r="P24" s="48"/>
      <c r="Q24" s="409" t="s">
        <v>67</v>
      </c>
      <c r="R24" s="409">
        <v>12</v>
      </c>
      <c r="S24" s="409">
        <v>130</v>
      </c>
      <c r="T24" s="409" t="s">
        <v>65</v>
      </c>
      <c r="U24" s="409">
        <f>H33*J30</f>
        <v>140</v>
      </c>
      <c r="V24" s="48"/>
    </row>
    <row r="25" spans="1:22" ht="15">
      <c r="A25" s="50"/>
      <c r="B25" s="113"/>
      <c r="C25" s="105" t="s">
        <v>330</v>
      </c>
      <c r="D25" s="481">
        <v>3</v>
      </c>
      <c r="E25" s="481"/>
      <c r="F25" s="50"/>
      <c r="G25" s="105" t="s">
        <v>328</v>
      </c>
      <c r="H25" s="480" t="s">
        <v>68</v>
      </c>
      <c r="I25" s="481"/>
      <c r="J25" s="50"/>
      <c r="K25" s="80"/>
      <c r="L25" s="80"/>
      <c r="M25" s="80"/>
      <c r="N25" s="111"/>
      <c r="O25" s="48"/>
      <c r="P25" s="48"/>
      <c r="Q25" s="409" t="s">
        <v>159</v>
      </c>
      <c r="R25" s="409">
        <v>24</v>
      </c>
      <c r="S25" s="409">
        <v>220</v>
      </c>
      <c r="T25" s="409"/>
      <c r="U25" s="409"/>
      <c r="V25" s="48"/>
    </row>
    <row r="26" spans="1:22" ht="15">
      <c r="A26" s="50"/>
      <c r="B26" s="113"/>
      <c r="C26" s="105" t="s">
        <v>331</v>
      </c>
      <c r="D26" s="486"/>
      <c r="E26" s="487"/>
      <c r="F26" s="50"/>
      <c r="G26" s="105" t="s">
        <v>338</v>
      </c>
      <c r="H26" s="481">
        <v>48</v>
      </c>
      <c r="I26" s="481" t="s">
        <v>54</v>
      </c>
      <c r="J26" s="50"/>
      <c r="K26" s="80"/>
      <c r="L26" s="80"/>
      <c r="M26" s="80"/>
      <c r="N26" s="111"/>
      <c r="O26" s="48"/>
      <c r="P26" s="48"/>
      <c r="Q26" s="409"/>
      <c r="R26" s="409">
        <v>48</v>
      </c>
      <c r="S26" s="409">
        <v>230</v>
      </c>
      <c r="T26" s="409"/>
      <c r="U26" s="409"/>
      <c r="V26" s="48"/>
    </row>
    <row r="27" spans="1:22" ht="30.75" thickBot="1">
      <c r="A27" s="50"/>
      <c r="B27" s="113"/>
      <c r="C27" s="553" t="s">
        <v>332</v>
      </c>
      <c r="D27" s="481">
        <v>75</v>
      </c>
      <c r="E27" s="481"/>
      <c r="F27" s="50"/>
      <c r="G27" s="105" t="s">
        <v>339</v>
      </c>
      <c r="H27" s="481">
        <v>230</v>
      </c>
      <c r="I27" s="481" t="s">
        <v>54</v>
      </c>
      <c r="J27" s="139"/>
      <c r="K27" s="50"/>
      <c r="L27" s="50"/>
      <c r="M27" s="50"/>
      <c r="N27" s="111"/>
      <c r="O27" s="48"/>
      <c r="P27" s="48"/>
      <c r="Q27" s="409"/>
      <c r="R27" s="409">
        <v>120</v>
      </c>
      <c r="S27" s="409"/>
      <c r="T27" s="409"/>
      <c r="U27" s="409"/>
      <c r="V27" s="48"/>
    </row>
    <row r="28" spans="1:22" ht="51">
      <c r="A28" s="50"/>
      <c r="B28" s="113"/>
      <c r="C28" s="105" t="s">
        <v>333</v>
      </c>
      <c r="D28" s="486">
        <f>D26*D27/100</f>
        <v>0</v>
      </c>
      <c r="E28" s="487"/>
      <c r="F28" s="50"/>
      <c r="G28" s="105" t="s">
        <v>340</v>
      </c>
      <c r="H28" s="492">
        <v>4250</v>
      </c>
      <c r="I28" s="493"/>
      <c r="J28" s="498" t="s">
        <v>341</v>
      </c>
      <c r="K28" s="500" t="s">
        <v>342</v>
      </c>
      <c r="L28" s="50"/>
      <c r="M28" s="50"/>
      <c r="N28" s="111"/>
      <c r="O28" s="48"/>
      <c r="P28" s="48"/>
      <c r="Q28" s="409"/>
      <c r="R28" s="409">
        <v>240</v>
      </c>
      <c r="S28" s="409"/>
      <c r="T28" s="409"/>
      <c r="U28" s="409"/>
      <c r="V28" s="48"/>
    </row>
    <row r="29" spans="1:22" ht="30.75" thickBot="1">
      <c r="A29" s="50"/>
      <c r="B29" s="113"/>
      <c r="C29" s="553" t="s">
        <v>334</v>
      </c>
      <c r="D29" s="475"/>
      <c r="E29" s="475"/>
      <c r="F29" s="50"/>
      <c r="G29" s="105" t="s">
        <v>343</v>
      </c>
      <c r="H29" s="481">
        <v>10000</v>
      </c>
      <c r="I29" s="481" t="s">
        <v>55</v>
      </c>
      <c r="J29" s="499"/>
      <c r="K29" s="501"/>
      <c r="L29" s="50"/>
      <c r="M29" s="50"/>
      <c r="N29" s="111"/>
      <c r="O29" s="48"/>
      <c r="P29" s="48"/>
      <c r="Q29" s="409"/>
      <c r="R29" s="409"/>
      <c r="S29" s="409"/>
      <c r="T29" s="409"/>
      <c r="U29" s="409"/>
      <c r="V29" s="48"/>
    </row>
    <row r="30" spans="1:22" ht="15.75">
      <c r="A30" s="50"/>
      <c r="B30" s="113"/>
      <c r="C30" s="105" t="s">
        <v>335</v>
      </c>
      <c r="D30" s="488">
        <v>0.9</v>
      </c>
      <c r="E30" s="489"/>
      <c r="F30" s="50"/>
      <c r="G30" s="553" t="s">
        <v>344</v>
      </c>
      <c r="H30" s="496">
        <f>D28/H28</f>
        <v>0</v>
      </c>
      <c r="I30" s="497"/>
      <c r="J30" s="221">
        <v>2</v>
      </c>
      <c r="K30" s="43">
        <f>J30*H28</f>
        <v>8500</v>
      </c>
      <c r="L30" s="97"/>
      <c r="M30" s="50"/>
      <c r="N30" s="111"/>
      <c r="O30" s="48"/>
      <c r="P30" s="48"/>
      <c r="Q30" s="48"/>
      <c r="R30" s="48"/>
      <c r="S30" s="48"/>
      <c r="T30" s="48"/>
      <c r="U30" s="48"/>
      <c r="V30" s="48"/>
    </row>
    <row r="31" spans="1:22" ht="15.75">
      <c r="A31" s="50"/>
      <c r="B31" s="113"/>
      <c r="C31" s="50"/>
      <c r="D31" s="50"/>
      <c r="E31" s="50"/>
      <c r="F31" s="50"/>
      <c r="G31" s="104" t="s">
        <v>345</v>
      </c>
      <c r="H31" s="219">
        <v>1</v>
      </c>
      <c r="I31" s="219"/>
      <c r="J31" s="50"/>
      <c r="K31" s="50"/>
      <c r="L31" s="97"/>
      <c r="M31" s="50"/>
      <c r="N31" s="111"/>
      <c r="O31" s="48"/>
      <c r="P31" s="48"/>
      <c r="Q31" s="48"/>
      <c r="R31" s="48"/>
      <c r="S31" s="48"/>
      <c r="T31" s="48"/>
      <c r="U31" s="48"/>
      <c r="V31" s="48"/>
    </row>
    <row r="32" spans="1:22" ht="18.75">
      <c r="A32" s="50"/>
      <c r="B32" s="113"/>
      <c r="C32" s="50"/>
      <c r="D32" s="50"/>
      <c r="E32" s="50"/>
      <c r="F32" s="50"/>
      <c r="G32" s="104" t="s">
        <v>346</v>
      </c>
      <c r="H32" s="492">
        <v>230</v>
      </c>
      <c r="I32" s="493"/>
      <c r="J32" s="50"/>
      <c r="K32" s="485"/>
      <c r="L32" s="485"/>
      <c r="M32" s="485"/>
      <c r="N32" s="111"/>
      <c r="O32" s="48"/>
      <c r="P32" s="48"/>
      <c r="Q32" s="48"/>
      <c r="R32" s="48"/>
      <c r="S32" s="48"/>
      <c r="T32" s="48"/>
      <c r="U32" s="48"/>
      <c r="V32" s="48"/>
    </row>
    <row r="33" spans="1:22" ht="15">
      <c r="A33" s="50"/>
      <c r="B33" s="113"/>
      <c r="C33" s="50"/>
      <c r="D33" s="50"/>
      <c r="E33" s="50"/>
      <c r="F33" s="50"/>
      <c r="G33" s="104" t="s">
        <v>347</v>
      </c>
      <c r="H33" s="492">
        <v>70</v>
      </c>
      <c r="I33" s="493"/>
      <c r="J33" s="50"/>
      <c r="K33" s="80"/>
      <c r="L33" s="80"/>
      <c r="M33" s="80"/>
      <c r="N33" s="111"/>
      <c r="O33" s="48"/>
      <c r="P33" s="48"/>
      <c r="Q33" s="48"/>
      <c r="R33" s="48"/>
      <c r="S33" s="48"/>
      <c r="T33" s="48"/>
      <c r="U33" s="48"/>
      <c r="V33" s="48"/>
    </row>
    <row r="34" spans="1:22" ht="15">
      <c r="A34" s="50"/>
      <c r="B34" s="113"/>
      <c r="C34" s="50"/>
      <c r="D34" s="50"/>
      <c r="E34" s="50"/>
      <c r="F34" s="50"/>
      <c r="G34" s="104" t="s">
        <v>348</v>
      </c>
      <c r="H34" s="496">
        <f>Baterías!G38/(H33*J30)</f>
        <v>3</v>
      </c>
      <c r="I34" s="502"/>
      <c r="J34" s="50"/>
      <c r="K34" s="80"/>
      <c r="L34" s="80"/>
      <c r="M34" s="80"/>
      <c r="N34" s="111"/>
      <c r="O34" s="48"/>
      <c r="P34" s="48"/>
      <c r="Q34" s="48"/>
      <c r="R34" s="48"/>
      <c r="S34" s="48"/>
      <c r="T34" s="48"/>
      <c r="U34" s="48"/>
      <c r="V34" s="48"/>
    </row>
    <row r="35" spans="1:22" ht="15.75">
      <c r="A35" s="50"/>
      <c r="B35" s="113"/>
      <c r="C35" s="50"/>
      <c r="D35" s="50"/>
      <c r="E35" s="50"/>
      <c r="F35" s="50"/>
      <c r="G35" s="104" t="s">
        <v>349</v>
      </c>
      <c r="H35" s="220">
        <v>1</v>
      </c>
      <c r="I35" s="220"/>
      <c r="J35" s="50"/>
      <c r="K35" s="50"/>
      <c r="L35" s="97"/>
      <c r="M35" s="50"/>
      <c r="N35" s="111"/>
      <c r="O35" s="48"/>
      <c r="P35" s="48"/>
      <c r="Q35" s="48"/>
      <c r="R35" s="48"/>
      <c r="S35" s="48"/>
      <c r="T35" s="48"/>
      <c r="U35" s="48"/>
      <c r="V35" s="48"/>
    </row>
    <row r="36" spans="1:22" ht="15.75">
      <c r="A36" s="50"/>
      <c r="B36" s="113"/>
      <c r="C36" s="50"/>
      <c r="D36" s="50"/>
      <c r="E36" s="50"/>
      <c r="F36" s="50"/>
      <c r="G36" s="104" t="s">
        <v>350</v>
      </c>
      <c r="H36" s="220">
        <v>1</v>
      </c>
      <c r="I36" s="220"/>
      <c r="J36" s="50"/>
      <c r="K36" s="50"/>
      <c r="L36" s="97"/>
      <c r="M36" s="50"/>
      <c r="N36" s="111"/>
      <c r="O36" s="48"/>
      <c r="P36" s="48"/>
      <c r="Q36" s="48"/>
      <c r="R36" s="48"/>
      <c r="S36" s="48"/>
      <c r="T36" s="48"/>
      <c r="U36" s="48"/>
      <c r="V36" s="48"/>
    </row>
    <row r="37" spans="1:22" ht="15.75">
      <c r="A37" s="50"/>
      <c r="B37" s="113"/>
      <c r="C37" s="50"/>
      <c r="D37" s="50"/>
      <c r="E37" s="50"/>
      <c r="F37" s="50"/>
      <c r="G37" s="100" t="s">
        <v>351</v>
      </c>
      <c r="H37" s="220">
        <v>1</v>
      </c>
      <c r="I37" s="220"/>
      <c r="J37" s="50"/>
      <c r="K37" s="50"/>
      <c r="L37" s="97"/>
      <c r="M37" s="50"/>
      <c r="N37" s="111"/>
      <c r="O37" s="48"/>
      <c r="P37" s="48"/>
      <c r="Q37" s="48"/>
      <c r="R37" s="48"/>
      <c r="S37" s="48"/>
      <c r="T37" s="48"/>
      <c r="U37" s="48"/>
      <c r="V37" s="48"/>
    </row>
    <row r="38" spans="1:22">
      <c r="A38" s="50"/>
      <c r="B38" s="113"/>
      <c r="C38" s="50"/>
      <c r="D38" s="50"/>
      <c r="E38" s="50"/>
      <c r="F38" s="50"/>
      <c r="G38" s="50"/>
      <c r="H38" s="50"/>
      <c r="I38" s="50"/>
      <c r="J38" s="50"/>
      <c r="K38" s="50"/>
      <c r="L38" s="50"/>
      <c r="M38" s="50"/>
      <c r="N38" s="111"/>
      <c r="O38" s="48"/>
      <c r="P38" s="48"/>
      <c r="Q38" s="48"/>
      <c r="R38" s="48"/>
      <c r="S38" s="48"/>
      <c r="T38" s="48"/>
      <c r="U38" s="48"/>
      <c r="V38" s="48"/>
    </row>
    <row r="39" spans="1:22" ht="15">
      <c r="A39" s="50"/>
      <c r="B39" s="113"/>
      <c r="C39" s="50"/>
      <c r="D39" s="606" t="s">
        <v>353</v>
      </c>
      <c r="E39" s="607"/>
      <c r="F39" s="484"/>
      <c r="G39" s="484"/>
      <c r="H39" s="50"/>
      <c r="I39" s="50"/>
      <c r="J39" s="50"/>
      <c r="K39" s="50"/>
      <c r="L39" s="50"/>
      <c r="M39" s="50"/>
      <c r="N39" s="111"/>
      <c r="O39" s="48"/>
      <c r="P39" s="48"/>
      <c r="Q39" s="48"/>
      <c r="R39" s="48"/>
      <c r="S39" s="48"/>
      <c r="T39" s="48"/>
      <c r="U39" s="48"/>
      <c r="V39" s="48"/>
    </row>
    <row r="40" spans="1:22" ht="13.5" thickBot="1">
      <c r="A40" s="50"/>
      <c r="B40" s="113"/>
      <c r="C40" s="50"/>
      <c r="D40" s="50"/>
      <c r="E40" s="50"/>
      <c r="F40" s="50"/>
      <c r="G40" s="50"/>
      <c r="H40" s="50"/>
      <c r="I40" s="50"/>
      <c r="J40" s="50"/>
      <c r="K40" s="50"/>
      <c r="L40" s="50"/>
      <c r="M40" s="50"/>
      <c r="N40" s="111"/>
      <c r="O40" s="48"/>
      <c r="P40" s="48"/>
      <c r="Q40" s="48"/>
      <c r="R40" s="48"/>
      <c r="S40" s="48"/>
      <c r="T40" s="48"/>
      <c r="U40" s="48"/>
      <c r="V40" s="48"/>
    </row>
    <row r="41" spans="1:22" ht="18.75">
      <c r="A41" s="50"/>
      <c r="B41" s="113"/>
      <c r="C41" s="50"/>
      <c r="D41" s="50"/>
      <c r="E41" s="50"/>
      <c r="F41" s="50"/>
      <c r="G41" s="477" t="s">
        <v>354</v>
      </c>
      <c r="H41" s="478"/>
      <c r="I41" s="479"/>
      <c r="J41" s="50"/>
      <c r="K41" s="50"/>
      <c r="L41" s="50"/>
      <c r="M41" s="50"/>
      <c r="N41" s="111"/>
      <c r="O41" s="48"/>
      <c r="P41" s="48"/>
      <c r="Q41" s="48"/>
      <c r="R41" s="48"/>
      <c r="S41" s="48"/>
      <c r="T41" s="48"/>
      <c r="U41" s="48"/>
      <c r="V41" s="48"/>
    </row>
    <row r="42" spans="1:22" ht="15">
      <c r="A42" s="50"/>
      <c r="B42" s="113"/>
      <c r="C42" s="50"/>
      <c r="D42" s="50"/>
      <c r="E42" s="50"/>
      <c r="F42" s="50"/>
      <c r="G42" s="105" t="s">
        <v>337</v>
      </c>
      <c r="H42" s="494"/>
      <c r="I42" s="495"/>
      <c r="J42" s="50"/>
      <c r="K42" s="50"/>
      <c r="L42" s="50"/>
      <c r="M42" s="50"/>
      <c r="N42" s="111"/>
      <c r="O42" s="48"/>
      <c r="P42" s="48"/>
      <c r="Q42" s="48"/>
      <c r="R42" s="48"/>
      <c r="S42" s="48"/>
      <c r="T42" s="48"/>
      <c r="U42" s="48"/>
      <c r="V42" s="48"/>
    </row>
    <row r="43" spans="1:22" ht="15">
      <c r="A43" s="50"/>
      <c r="B43" s="113"/>
      <c r="C43" s="50"/>
      <c r="D43" s="50"/>
      <c r="E43" s="50"/>
      <c r="F43" s="50"/>
      <c r="G43" s="105" t="s">
        <v>340</v>
      </c>
      <c r="H43" s="492"/>
      <c r="I43" s="493"/>
      <c r="J43" s="50"/>
      <c r="K43" s="50"/>
      <c r="L43" s="50"/>
      <c r="M43" s="50"/>
      <c r="N43" s="111"/>
      <c r="O43" s="48"/>
      <c r="P43" s="48"/>
      <c r="Q43" s="48"/>
      <c r="R43" s="48"/>
      <c r="S43" s="48"/>
      <c r="T43" s="48"/>
      <c r="U43" s="48"/>
      <c r="V43" s="48"/>
    </row>
    <row r="44" spans="1:22" ht="15">
      <c r="A44" s="50"/>
      <c r="B44" s="113"/>
      <c r="C44" s="50"/>
      <c r="D44" s="50"/>
      <c r="E44" s="50"/>
      <c r="F44" s="50"/>
      <c r="G44" s="105" t="s">
        <v>331</v>
      </c>
      <c r="H44" s="492"/>
      <c r="I44" s="493"/>
      <c r="J44" s="50"/>
      <c r="K44" s="50"/>
      <c r="L44" s="50"/>
      <c r="M44" s="50"/>
      <c r="N44" s="111"/>
      <c r="O44" s="48"/>
      <c r="P44" s="48"/>
      <c r="Q44" s="48"/>
      <c r="R44" s="48"/>
      <c r="S44" s="48"/>
      <c r="T44" s="48"/>
      <c r="U44" s="48"/>
      <c r="V44" s="48"/>
    </row>
    <row r="45" spans="1:22" ht="15">
      <c r="A45" s="50"/>
      <c r="B45" s="113"/>
      <c r="C45" s="50"/>
      <c r="D45" s="50"/>
      <c r="E45" s="50"/>
      <c r="F45" s="50"/>
      <c r="G45" s="105" t="s">
        <v>210</v>
      </c>
      <c r="H45" s="490"/>
      <c r="I45" s="491"/>
      <c r="J45" s="50"/>
      <c r="K45" s="50"/>
      <c r="L45" s="50"/>
      <c r="M45" s="50"/>
      <c r="N45" s="111"/>
      <c r="O45" s="48"/>
      <c r="P45" s="48"/>
      <c r="Q45" s="48"/>
      <c r="R45" s="48"/>
      <c r="S45" s="48"/>
      <c r="T45" s="48"/>
      <c r="U45" s="48"/>
      <c r="V45" s="48"/>
    </row>
    <row r="46" spans="1:22" ht="15">
      <c r="A46" s="50"/>
      <c r="B46" s="113"/>
      <c r="C46" s="50"/>
      <c r="D46" s="50"/>
      <c r="E46" s="50"/>
      <c r="F46" s="50"/>
      <c r="G46" s="105" t="s">
        <v>355</v>
      </c>
      <c r="H46" s="490"/>
      <c r="I46" s="491"/>
      <c r="J46" s="50"/>
      <c r="K46" s="50"/>
      <c r="L46" s="50"/>
      <c r="M46" s="50"/>
      <c r="N46" s="111"/>
      <c r="O46" s="48"/>
      <c r="P46" s="48"/>
      <c r="Q46" s="48"/>
      <c r="R46" s="48"/>
      <c r="S46" s="48"/>
      <c r="T46" s="48"/>
      <c r="U46" s="48"/>
      <c r="V46" s="48"/>
    </row>
    <row r="47" spans="1:22" ht="15">
      <c r="A47" s="50"/>
      <c r="B47" s="113"/>
      <c r="C47" s="50"/>
      <c r="D47" s="50"/>
      <c r="E47" s="50"/>
      <c r="F47" s="50"/>
      <c r="G47" s="105" t="s">
        <v>356</v>
      </c>
      <c r="H47" s="222"/>
      <c r="I47" s="223"/>
      <c r="J47" s="50"/>
      <c r="K47" s="50"/>
      <c r="L47" s="50"/>
      <c r="M47" s="50"/>
      <c r="N47" s="111"/>
      <c r="O47" s="48"/>
      <c r="P47" s="48"/>
      <c r="Q47" s="48"/>
      <c r="R47" s="48"/>
      <c r="S47" s="48"/>
      <c r="T47" s="48"/>
      <c r="U47" s="48"/>
      <c r="V47" s="48"/>
    </row>
    <row r="48" spans="1:22" ht="15">
      <c r="A48" s="50"/>
      <c r="B48" s="113"/>
      <c r="C48" s="50"/>
      <c r="D48" s="50"/>
      <c r="E48" s="50"/>
      <c r="F48" s="50"/>
      <c r="G48" s="105" t="s">
        <v>357</v>
      </c>
      <c r="H48" s="481"/>
      <c r="I48" s="481"/>
      <c r="J48" s="50"/>
      <c r="K48" s="50"/>
      <c r="L48" s="50"/>
      <c r="M48" s="50"/>
      <c r="N48" s="111"/>
      <c r="O48" s="48"/>
      <c r="P48" s="48"/>
      <c r="Q48" s="48"/>
      <c r="R48" s="48"/>
      <c r="S48" s="48"/>
      <c r="T48" s="48"/>
      <c r="U48" s="48"/>
      <c r="V48" s="48"/>
    </row>
    <row r="49" spans="1:22">
      <c r="A49" s="50"/>
      <c r="B49" s="113"/>
      <c r="C49" s="50"/>
      <c r="D49" s="50"/>
      <c r="E49" s="50"/>
      <c r="F49" s="50"/>
      <c r="G49" s="50"/>
      <c r="H49" s="50"/>
      <c r="I49" s="50"/>
      <c r="J49" s="50"/>
      <c r="K49" s="50"/>
      <c r="L49" s="50"/>
      <c r="M49" s="50"/>
      <c r="N49" s="111"/>
      <c r="O49" s="48"/>
      <c r="P49" s="48"/>
      <c r="Q49" s="48"/>
      <c r="R49" s="48"/>
      <c r="S49" s="48"/>
      <c r="T49" s="48"/>
      <c r="U49" s="48"/>
      <c r="V49" s="48"/>
    </row>
    <row r="50" spans="1:22" ht="15">
      <c r="A50" s="50"/>
      <c r="B50" s="113"/>
      <c r="C50" s="50"/>
      <c r="D50" s="606" t="s">
        <v>358</v>
      </c>
      <c r="E50" s="607"/>
      <c r="F50" s="484"/>
      <c r="G50" s="484"/>
      <c r="H50" s="50"/>
      <c r="I50" s="50"/>
      <c r="J50" s="50"/>
      <c r="K50" s="50"/>
      <c r="L50" s="50"/>
      <c r="M50" s="50"/>
      <c r="N50" s="111"/>
      <c r="O50" s="48"/>
      <c r="P50" s="48"/>
      <c r="Q50" s="48"/>
      <c r="R50" s="48"/>
      <c r="S50" s="48"/>
      <c r="T50" s="48"/>
      <c r="U50" s="48"/>
      <c r="V50" s="48"/>
    </row>
    <row r="51" spans="1:22" ht="13.5" thickBot="1">
      <c r="A51" s="50"/>
      <c r="B51" s="113"/>
      <c r="C51" s="50"/>
      <c r="D51" s="50"/>
      <c r="E51" s="50"/>
      <c r="F51" s="50"/>
      <c r="G51" s="50"/>
      <c r="H51" s="50"/>
      <c r="I51" s="50"/>
      <c r="J51" s="50"/>
      <c r="K51" s="50"/>
      <c r="L51" s="50"/>
      <c r="M51" s="50"/>
      <c r="N51" s="111"/>
      <c r="O51" s="48"/>
      <c r="P51" s="48"/>
      <c r="Q51" s="48"/>
      <c r="R51" s="48"/>
      <c r="S51" s="48"/>
      <c r="T51" s="48"/>
      <c r="U51" s="48"/>
      <c r="V51" s="48"/>
    </row>
    <row r="52" spans="1:22" ht="19.5" thickBot="1">
      <c r="A52" s="50"/>
      <c r="B52" s="113"/>
      <c r="C52" s="599" t="s">
        <v>326</v>
      </c>
      <c r="D52" s="600"/>
      <c r="E52" s="601"/>
      <c r="F52" s="66"/>
      <c r="G52" s="599" t="s">
        <v>363</v>
      </c>
      <c r="H52" s="600"/>
      <c r="I52" s="601"/>
      <c r="J52" s="59"/>
      <c r="K52" s="50"/>
      <c r="L52" s="50"/>
      <c r="M52" s="50"/>
      <c r="N52" s="111"/>
      <c r="O52" s="48"/>
      <c r="P52" s="48"/>
      <c r="Q52" s="48"/>
      <c r="R52" s="48"/>
      <c r="S52" s="48"/>
      <c r="T52" s="48"/>
      <c r="U52" s="48"/>
      <c r="V52" s="48"/>
    </row>
    <row r="53" spans="1:22" ht="15">
      <c r="A53" s="50"/>
      <c r="B53" s="113"/>
      <c r="C53" s="105" t="s">
        <v>359</v>
      </c>
      <c r="D53" s="481"/>
      <c r="E53" s="481"/>
      <c r="F53" s="50"/>
      <c r="G53" s="105" t="s">
        <v>336</v>
      </c>
      <c r="H53" s="481"/>
      <c r="I53" s="481"/>
      <c r="J53" s="50"/>
      <c r="K53" s="50"/>
      <c r="L53" s="50"/>
      <c r="M53" s="50"/>
      <c r="N53" s="111"/>
      <c r="O53" s="48"/>
      <c r="P53" s="48"/>
      <c r="Q53" s="48"/>
      <c r="R53" s="48"/>
      <c r="S53" s="48"/>
      <c r="T53" s="48"/>
      <c r="U53" s="48"/>
      <c r="V53" s="48"/>
    </row>
    <row r="54" spans="1:22" ht="15">
      <c r="A54" s="50"/>
      <c r="B54" s="113"/>
      <c r="C54" s="105" t="s">
        <v>360</v>
      </c>
      <c r="D54" s="481"/>
      <c r="E54" s="481"/>
      <c r="F54" s="50"/>
      <c r="G54" s="105" t="s">
        <v>337</v>
      </c>
      <c r="H54" s="481"/>
      <c r="I54" s="481"/>
      <c r="J54" s="50"/>
      <c r="K54" s="50"/>
      <c r="L54" s="50"/>
      <c r="M54" s="50"/>
      <c r="N54" s="111"/>
      <c r="O54" s="48"/>
      <c r="P54" s="48"/>
      <c r="Q54" s="48"/>
      <c r="R54" s="48"/>
      <c r="S54" s="48"/>
      <c r="T54" s="48"/>
      <c r="U54" s="48"/>
      <c r="V54" s="48"/>
    </row>
    <row r="55" spans="1:22" ht="15">
      <c r="A55" s="50"/>
      <c r="B55" s="113"/>
      <c r="C55" s="105" t="s">
        <v>361</v>
      </c>
      <c r="D55" s="481"/>
      <c r="E55" s="481"/>
      <c r="F55" s="50"/>
      <c r="G55" s="105" t="s">
        <v>346</v>
      </c>
      <c r="H55" s="481"/>
      <c r="I55" s="481"/>
      <c r="J55" s="50"/>
      <c r="K55" s="50"/>
      <c r="L55" s="50"/>
      <c r="M55" s="50"/>
      <c r="N55" s="111"/>
      <c r="O55" s="48"/>
      <c r="P55" s="48"/>
      <c r="Q55" s="48"/>
      <c r="R55" s="48"/>
      <c r="S55" s="48"/>
      <c r="T55" s="48"/>
      <c r="U55" s="48"/>
      <c r="V55" s="48"/>
    </row>
    <row r="56" spans="1:22" ht="15">
      <c r="A56" s="50"/>
      <c r="B56" s="113"/>
      <c r="C56" s="105" t="s">
        <v>362</v>
      </c>
      <c r="D56" s="481"/>
      <c r="E56" s="481"/>
      <c r="F56" s="50"/>
      <c r="G56" s="105" t="s">
        <v>364</v>
      </c>
      <c r="H56" s="481"/>
      <c r="I56" s="481"/>
      <c r="J56" s="50"/>
      <c r="K56" s="50"/>
      <c r="L56" s="50"/>
      <c r="M56" s="50"/>
      <c r="N56" s="111"/>
      <c r="O56" s="48"/>
      <c r="P56" s="48"/>
      <c r="Q56" s="48"/>
      <c r="R56" s="48"/>
      <c r="S56" s="48"/>
      <c r="T56" s="48"/>
      <c r="U56" s="48"/>
      <c r="V56" s="48"/>
    </row>
    <row r="57" spans="1:22" ht="15">
      <c r="A57" s="50"/>
      <c r="B57" s="113"/>
      <c r="C57" s="50"/>
      <c r="D57" s="50"/>
      <c r="E57" s="50"/>
      <c r="F57" s="50"/>
      <c r="G57" s="105" t="s">
        <v>365</v>
      </c>
      <c r="H57" s="481"/>
      <c r="I57" s="481"/>
      <c r="J57" s="50"/>
      <c r="K57" s="50"/>
      <c r="L57" s="50"/>
      <c r="M57" s="50"/>
      <c r="N57" s="111"/>
      <c r="O57" s="48"/>
      <c r="P57" s="48"/>
      <c r="Q57" s="48"/>
      <c r="R57" s="48"/>
      <c r="S57" s="48"/>
      <c r="T57" s="48"/>
      <c r="U57" s="48"/>
      <c r="V57" s="48"/>
    </row>
    <row r="58" spans="1:22" ht="15">
      <c r="A58" s="50"/>
      <c r="B58" s="113"/>
      <c r="C58" s="50"/>
      <c r="D58" s="50"/>
      <c r="E58" s="50"/>
      <c r="F58" s="50"/>
      <c r="G58" s="105" t="s">
        <v>366</v>
      </c>
      <c r="H58" s="481"/>
      <c r="I58" s="481"/>
      <c r="J58" s="50"/>
      <c r="K58" s="50"/>
      <c r="L58" s="50"/>
      <c r="M58" s="50"/>
      <c r="N58" s="111"/>
      <c r="O58" s="48"/>
      <c r="P58" s="48"/>
      <c r="Q58" s="48"/>
      <c r="R58" s="48"/>
      <c r="S58" s="48"/>
      <c r="T58" s="48"/>
      <c r="U58" s="48"/>
      <c r="V58" s="48"/>
    </row>
    <row r="59" spans="1:22" ht="18.75">
      <c r="A59" s="50"/>
      <c r="B59" s="113"/>
      <c r="C59" s="50"/>
      <c r="D59" s="50"/>
      <c r="E59" s="50"/>
      <c r="F59" s="50"/>
      <c r="G59" s="477" t="s">
        <v>354</v>
      </c>
      <c r="H59" s="478"/>
      <c r="I59" s="478"/>
      <c r="J59" s="59"/>
      <c r="K59" s="50"/>
      <c r="L59" s="50"/>
      <c r="M59" s="50"/>
      <c r="N59" s="111"/>
      <c r="O59" s="48"/>
      <c r="P59" s="48"/>
      <c r="Q59" s="48"/>
      <c r="R59" s="48"/>
      <c r="S59" s="48"/>
      <c r="T59" s="48"/>
      <c r="U59" s="48"/>
      <c r="V59" s="48"/>
    </row>
    <row r="60" spans="1:22" ht="15">
      <c r="A60" s="50"/>
      <c r="B60" s="113"/>
      <c r="C60" s="50"/>
      <c r="D60" s="50"/>
      <c r="E60" s="50"/>
      <c r="F60" s="50"/>
      <c r="G60" s="105" t="s">
        <v>367</v>
      </c>
      <c r="H60" s="481"/>
      <c r="I60" s="481"/>
      <c r="J60" s="50"/>
      <c r="K60" s="50"/>
      <c r="L60" s="50"/>
      <c r="M60" s="50"/>
      <c r="N60" s="111"/>
      <c r="O60" s="48"/>
      <c r="P60" s="48"/>
      <c r="Q60" s="48"/>
      <c r="R60" s="48"/>
      <c r="S60" s="48"/>
      <c r="T60" s="48"/>
      <c r="U60" s="48"/>
      <c r="V60" s="48"/>
    </row>
    <row r="61" spans="1:22">
      <c r="A61" s="50"/>
      <c r="B61" s="114"/>
      <c r="C61" s="115"/>
      <c r="D61" s="115"/>
      <c r="E61" s="115"/>
      <c r="F61" s="115"/>
      <c r="G61" s="115"/>
      <c r="H61" s="115"/>
      <c r="I61" s="115"/>
      <c r="J61" s="115"/>
      <c r="K61" s="115"/>
      <c r="L61" s="115"/>
      <c r="M61" s="115"/>
      <c r="N61" s="116"/>
      <c r="O61" s="48"/>
      <c r="P61" s="48"/>
      <c r="Q61" s="48"/>
      <c r="R61" s="48"/>
      <c r="S61" s="48"/>
      <c r="T61" s="48"/>
      <c r="U61" s="48"/>
      <c r="V61" s="48"/>
    </row>
    <row r="62" spans="1:22">
      <c r="A62" s="48"/>
      <c r="B62" s="48"/>
      <c r="C62" s="48"/>
      <c r="D62" s="48"/>
      <c r="E62" s="48"/>
      <c r="F62" s="48"/>
      <c r="G62" s="48"/>
      <c r="H62" s="48"/>
      <c r="I62" s="48"/>
      <c r="J62" s="48"/>
      <c r="K62" s="48"/>
      <c r="L62" s="48"/>
      <c r="M62" s="48"/>
      <c r="N62" s="48"/>
      <c r="O62" s="48"/>
      <c r="P62" s="48"/>
      <c r="Q62" s="48"/>
      <c r="R62" s="48"/>
      <c r="S62" s="48"/>
      <c r="T62" s="48"/>
      <c r="U62" s="48"/>
      <c r="V62" s="48"/>
    </row>
    <row r="63" spans="1:22">
      <c r="A63" s="48"/>
      <c r="B63" s="48"/>
      <c r="C63" s="48"/>
      <c r="D63" s="48"/>
      <c r="E63" s="48"/>
      <c r="F63" s="48"/>
      <c r="G63" s="48"/>
      <c r="H63" s="48"/>
      <c r="I63" s="48"/>
      <c r="J63" s="48"/>
      <c r="K63" s="48"/>
      <c r="L63" s="48"/>
      <c r="M63" s="48"/>
      <c r="N63" s="48"/>
      <c r="O63" s="48"/>
      <c r="P63" s="48"/>
      <c r="Q63" s="48"/>
      <c r="R63" s="48"/>
      <c r="S63" s="48"/>
      <c r="T63" s="48"/>
      <c r="U63" s="48"/>
      <c r="V63" s="48"/>
    </row>
    <row r="64" spans="1:22">
      <c r="A64" s="48"/>
      <c r="B64" s="48"/>
      <c r="C64" s="48"/>
      <c r="D64" s="48"/>
      <c r="E64" s="48"/>
      <c r="F64" s="48"/>
      <c r="G64" s="48"/>
      <c r="H64" s="48"/>
      <c r="I64" s="48"/>
      <c r="J64" s="48"/>
      <c r="K64" s="48"/>
      <c r="L64" s="48"/>
      <c r="M64" s="48"/>
      <c r="N64" s="48"/>
      <c r="O64" s="48"/>
      <c r="P64" s="48"/>
      <c r="Q64" s="48"/>
      <c r="R64" s="48"/>
      <c r="S64" s="48"/>
      <c r="T64" s="48"/>
      <c r="U64" s="48"/>
      <c r="V64" s="48"/>
    </row>
    <row r="65" spans="1:22">
      <c r="A65" s="48"/>
      <c r="B65" s="48"/>
      <c r="C65" s="48"/>
      <c r="D65" s="48"/>
      <c r="E65" s="48"/>
      <c r="F65" s="48"/>
      <c r="G65" s="48"/>
      <c r="H65" s="48"/>
      <c r="I65" s="48"/>
      <c r="J65" s="48"/>
      <c r="K65" s="48"/>
      <c r="L65" s="48"/>
      <c r="M65" s="48"/>
      <c r="N65" s="48"/>
      <c r="O65" s="48"/>
      <c r="P65" s="48"/>
      <c r="Q65" s="48"/>
      <c r="R65" s="48"/>
      <c r="S65" s="48"/>
      <c r="T65" s="48"/>
      <c r="U65" s="48"/>
      <c r="V65" s="48"/>
    </row>
    <row r="66" spans="1:22">
      <c r="A66" s="48"/>
      <c r="B66" s="48"/>
      <c r="C66" s="48"/>
      <c r="D66" s="48"/>
      <c r="E66" s="48"/>
      <c r="F66" s="48"/>
      <c r="G66" s="48"/>
      <c r="H66" s="48"/>
      <c r="I66" s="48"/>
      <c r="J66" s="48"/>
      <c r="K66" s="48"/>
      <c r="L66" s="48"/>
      <c r="M66" s="48"/>
      <c r="N66" s="48"/>
      <c r="O66" s="48"/>
      <c r="P66" s="48"/>
      <c r="Q66" s="48"/>
      <c r="R66" s="48"/>
      <c r="S66" s="48"/>
      <c r="T66" s="48"/>
      <c r="U66" s="48"/>
      <c r="V66" s="48"/>
    </row>
    <row r="67" spans="1:22">
      <c r="A67" s="48"/>
      <c r="B67" s="48"/>
      <c r="C67" s="48"/>
      <c r="D67" s="48"/>
      <c r="E67" s="48"/>
      <c r="F67" s="48"/>
      <c r="G67" s="48"/>
      <c r="H67" s="48"/>
      <c r="I67" s="48"/>
      <c r="J67" s="48"/>
      <c r="K67" s="48"/>
      <c r="L67" s="48"/>
      <c r="M67" s="48"/>
      <c r="N67" s="48"/>
      <c r="O67" s="48"/>
      <c r="P67" s="48"/>
      <c r="Q67" s="48"/>
      <c r="R67" s="48"/>
      <c r="S67" s="48"/>
      <c r="T67" s="48"/>
      <c r="U67" s="48"/>
      <c r="V67" s="48"/>
    </row>
    <row r="68" spans="1:22">
      <c r="A68" s="48"/>
      <c r="B68" s="48"/>
      <c r="C68" s="48"/>
      <c r="D68" s="48"/>
      <c r="E68" s="48"/>
      <c r="F68" s="48"/>
      <c r="G68" s="48"/>
      <c r="H68" s="48"/>
      <c r="I68" s="48"/>
      <c r="J68" s="48"/>
      <c r="K68" s="48"/>
      <c r="L68" s="48"/>
      <c r="M68" s="48"/>
      <c r="N68" s="48"/>
      <c r="O68" s="48"/>
      <c r="P68" s="48"/>
      <c r="Q68" s="48"/>
      <c r="R68" s="48"/>
      <c r="S68" s="48"/>
      <c r="T68" s="48"/>
      <c r="U68" s="48"/>
      <c r="V68" s="48"/>
    </row>
    <row r="69" spans="1:22">
      <c r="A69" s="48"/>
      <c r="B69" s="48"/>
      <c r="C69" s="48"/>
      <c r="D69" s="48"/>
      <c r="E69" s="48"/>
      <c r="F69" s="48"/>
      <c r="G69" s="48"/>
      <c r="H69" s="48"/>
      <c r="I69" s="48"/>
      <c r="J69" s="48"/>
      <c r="K69" s="48"/>
      <c r="L69" s="48"/>
      <c r="M69" s="48"/>
      <c r="N69" s="48"/>
      <c r="O69" s="48"/>
      <c r="P69" s="48"/>
      <c r="Q69" s="48"/>
      <c r="R69" s="48"/>
      <c r="S69" s="48"/>
      <c r="T69" s="48"/>
      <c r="U69" s="48"/>
      <c r="V69" s="48"/>
    </row>
    <row r="70" spans="1:22">
      <c r="A70" s="48"/>
      <c r="B70" s="48"/>
      <c r="C70" s="48"/>
      <c r="D70" s="48"/>
      <c r="E70" s="48"/>
      <c r="F70" s="48"/>
      <c r="G70" s="48"/>
      <c r="H70" s="48"/>
      <c r="I70" s="48"/>
      <c r="J70" s="48"/>
      <c r="K70" s="48"/>
      <c r="L70" s="48"/>
      <c r="M70" s="48"/>
      <c r="N70" s="48"/>
      <c r="O70" s="48"/>
      <c r="P70" s="48"/>
      <c r="Q70" s="48"/>
      <c r="R70" s="48"/>
      <c r="S70" s="48"/>
      <c r="T70" s="48"/>
      <c r="U70" s="48"/>
      <c r="V70" s="48"/>
    </row>
    <row r="71" spans="1:22">
      <c r="A71" s="48"/>
      <c r="B71" s="48"/>
      <c r="C71" s="48"/>
      <c r="D71" s="48"/>
      <c r="E71" s="48"/>
      <c r="F71" s="48"/>
      <c r="G71" s="48"/>
      <c r="H71" s="48"/>
      <c r="I71" s="48"/>
      <c r="J71" s="48"/>
      <c r="K71" s="48"/>
      <c r="L71" s="48"/>
      <c r="M71" s="48"/>
      <c r="N71" s="48"/>
      <c r="O71" s="48"/>
      <c r="P71" s="48"/>
      <c r="Q71" s="48"/>
      <c r="R71" s="48"/>
      <c r="S71" s="48"/>
      <c r="T71" s="48"/>
      <c r="U71" s="48"/>
      <c r="V71" s="48"/>
    </row>
    <row r="72" spans="1:22">
      <c r="A72" s="48"/>
      <c r="B72" s="48"/>
      <c r="C72" s="48"/>
      <c r="D72" s="48"/>
      <c r="E72" s="48"/>
      <c r="F72" s="48"/>
      <c r="G72" s="48"/>
      <c r="H72" s="48"/>
      <c r="I72" s="48"/>
      <c r="J72" s="48"/>
      <c r="K72" s="48"/>
      <c r="L72" s="48"/>
      <c r="M72" s="48"/>
      <c r="N72" s="48"/>
      <c r="O72" s="48"/>
      <c r="P72" s="48"/>
      <c r="Q72" s="48"/>
      <c r="R72" s="48"/>
      <c r="S72" s="48"/>
      <c r="T72" s="48"/>
      <c r="U72" s="48"/>
      <c r="V72" s="48"/>
    </row>
    <row r="73" spans="1:22">
      <c r="A73" s="48"/>
      <c r="B73" s="48"/>
      <c r="C73" s="48"/>
      <c r="D73" s="48"/>
      <c r="E73" s="48"/>
      <c r="F73" s="48"/>
      <c r="G73" s="48"/>
      <c r="H73" s="48"/>
      <c r="I73" s="48"/>
      <c r="J73" s="48"/>
      <c r="K73" s="48"/>
      <c r="L73" s="48"/>
      <c r="M73" s="48"/>
      <c r="N73" s="48"/>
      <c r="O73" s="48"/>
      <c r="P73" s="48"/>
      <c r="Q73" s="48"/>
      <c r="R73" s="48"/>
      <c r="S73" s="48"/>
      <c r="T73" s="48"/>
      <c r="U73" s="48"/>
      <c r="V73" s="48"/>
    </row>
    <row r="74" spans="1:22">
      <c r="A74" s="48"/>
      <c r="B74" s="48"/>
      <c r="C74" s="48"/>
      <c r="D74" s="48"/>
      <c r="E74" s="48"/>
      <c r="F74" s="48"/>
      <c r="G74" s="48"/>
      <c r="H74" s="48"/>
      <c r="I74" s="48"/>
      <c r="J74" s="48"/>
      <c r="K74" s="48"/>
      <c r="L74" s="48"/>
      <c r="M74" s="48"/>
      <c r="N74" s="48"/>
      <c r="O74" s="48"/>
      <c r="P74" s="48"/>
      <c r="Q74" s="48"/>
      <c r="R74" s="48"/>
      <c r="S74" s="48"/>
      <c r="T74" s="48"/>
      <c r="U74" s="48"/>
      <c r="V74" s="48"/>
    </row>
    <row r="75" spans="1:22">
      <c r="A75" s="48"/>
      <c r="B75" s="48"/>
      <c r="C75" s="48"/>
      <c r="D75" s="48"/>
      <c r="E75" s="48"/>
      <c r="F75" s="48"/>
      <c r="G75" s="48"/>
      <c r="H75" s="48"/>
      <c r="I75" s="48"/>
      <c r="J75" s="48"/>
      <c r="K75" s="48"/>
      <c r="L75" s="48"/>
      <c r="M75" s="48"/>
      <c r="N75" s="48"/>
      <c r="O75" s="48"/>
      <c r="P75" s="48"/>
      <c r="Q75" s="48"/>
      <c r="R75" s="48"/>
      <c r="S75" s="48"/>
      <c r="T75" s="48"/>
      <c r="U75" s="48"/>
      <c r="V75" s="48"/>
    </row>
    <row r="76" spans="1:22">
      <c r="A76" s="48"/>
      <c r="B76" s="48"/>
      <c r="C76" s="48"/>
      <c r="D76" s="48"/>
      <c r="E76" s="48"/>
      <c r="F76" s="48"/>
      <c r="G76" s="48"/>
      <c r="H76" s="48"/>
      <c r="I76" s="48"/>
      <c r="J76" s="48"/>
      <c r="K76" s="48"/>
      <c r="L76" s="48"/>
      <c r="M76" s="48"/>
      <c r="N76" s="48"/>
      <c r="O76" s="48"/>
      <c r="P76" s="48"/>
      <c r="Q76" s="48"/>
      <c r="R76" s="48"/>
      <c r="S76" s="48"/>
      <c r="T76" s="48"/>
      <c r="U76" s="48"/>
      <c r="V76" s="48"/>
    </row>
    <row r="77" spans="1:22">
      <c r="A77" s="48"/>
      <c r="B77" s="48"/>
      <c r="C77" s="48"/>
      <c r="D77" s="48"/>
      <c r="E77" s="48"/>
      <c r="F77" s="48"/>
      <c r="G77" s="48"/>
      <c r="H77" s="48"/>
      <c r="I77" s="48"/>
      <c r="J77" s="48"/>
      <c r="K77" s="48"/>
      <c r="L77" s="48"/>
      <c r="M77" s="48"/>
      <c r="N77" s="48"/>
      <c r="O77" s="48"/>
      <c r="P77" s="48"/>
      <c r="Q77" s="48"/>
      <c r="R77" s="48"/>
      <c r="S77" s="48"/>
      <c r="T77" s="48"/>
      <c r="U77" s="48"/>
      <c r="V77" s="48"/>
    </row>
    <row r="78" spans="1:22">
      <c r="A78" s="48"/>
      <c r="B78" s="48"/>
      <c r="C78" s="48"/>
      <c r="D78" s="48"/>
      <c r="E78" s="48"/>
      <c r="F78" s="48"/>
      <c r="G78" s="48"/>
      <c r="H78" s="48"/>
      <c r="I78" s="48"/>
      <c r="J78" s="48"/>
      <c r="K78" s="48"/>
      <c r="L78" s="48"/>
      <c r="M78" s="48"/>
      <c r="N78" s="48"/>
      <c r="O78" s="48"/>
      <c r="P78" s="48"/>
      <c r="Q78" s="48"/>
      <c r="R78" s="48"/>
      <c r="S78" s="48"/>
      <c r="T78" s="48"/>
      <c r="U78" s="48"/>
      <c r="V78" s="48"/>
    </row>
    <row r="79" spans="1:22">
      <c r="A79" s="48"/>
      <c r="B79" s="48"/>
      <c r="C79" s="48"/>
      <c r="D79" s="48"/>
      <c r="E79" s="48"/>
      <c r="F79" s="48"/>
      <c r="G79" s="48"/>
      <c r="H79" s="48"/>
      <c r="I79" s="48"/>
      <c r="J79" s="48"/>
      <c r="K79" s="48"/>
      <c r="L79" s="48"/>
      <c r="M79" s="48"/>
      <c r="N79" s="48"/>
      <c r="O79" s="48"/>
      <c r="P79" s="48"/>
      <c r="Q79" s="48"/>
      <c r="R79" s="48"/>
      <c r="S79" s="48"/>
      <c r="T79" s="48"/>
      <c r="U79" s="48"/>
      <c r="V79" s="48"/>
    </row>
    <row r="80" spans="1:22">
      <c r="A80" s="48"/>
      <c r="B80" s="48"/>
      <c r="C80" s="48"/>
      <c r="D80" s="48"/>
      <c r="E80" s="48"/>
      <c r="F80" s="48"/>
      <c r="G80" s="48"/>
      <c r="H80" s="48"/>
      <c r="I80" s="48"/>
      <c r="J80" s="48"/>
      <c r="K80" s="48"/>
      <c r="L80" s="48"/>
      <c r="M80" s="48"/>
      <c r="N80" s="48"/>
      <c r="O80" s="48"/>
      <c r="P80" s="48"/>
      <c r="Q80" s="48"/>
      <c r="R80" s="48"/>
      <c r="S80" s="48"/>
      <c r="T80" s="48"/>
      <c r="U80" s="48"/>
      <c r="V80" s="48"/>
    </row>
    <row r="81" spans="1:22">
      <c r="A81" s="48"/>
      <c r="B81" s="48"/>
      <c r="C81" s="48"/>
      <c r="D81" s="48"/>
      <c r="E81" s="48"/>
      <c r="F81" s="48"/>
      <c r="G81" s="48"/>
      <c r="H81" s="48"/>
      <c r="I81" s="48"/>
      <c r="J81" s="48"/>
      <c r="K81" s="48"/>
      <c r="L81" s="48"/>
      <c r="M81" s="48"/>
      <c r="N81" s="48"/>
      <c r="O81" s="48"/>
      <c r="P81" s="48"/>
      <c r="Q81" s="48"/>
      <c r="R81" s="48"/>
      <c r="S81" s="48"/>
      <c r="T81" s="48"/>
      <c r="U81" s="48"/>
      <c r="V81" s="48"/>
    </row>
    <row r="82" spans="1:22">
      <c r="A82" s="48"/>
      <c r="B82" s="48"/>
      <c r="C82" s="48"/>
      <c r="D82" s="48"/>
      <c r="E82" s="48"/>
      <c r="F82" s="48"/>
      <c r="G82" s="48"/>
      <c r="H82" s="48"/>
      <c r="I82" s="48"/>
      <c r="J82" s="48"/>
      <c r="K82" s="48"/>
      <c r="L82" s="48"/>
      <c r="M82" s="48"/>
      <c r="N82" s="48"/>
      <c r="O82" s="48"/>
      <c r="P82" s="48"/>
      <c r="Q82" s="48"/>
      <c r="R82" s="48"/>
      <c r="S82" s="48"/>
      <c r="T82" s="48"/>
      <c r="U82" s="48"/>
      <c r="V82" s="48"/>
    </row>
    <row r="83" spans="1:22">
      <c r="A83" s="48"/>
      <c r="B83" s="48"/>
      <c r="C83" s="48"/>
      <c r="D83" s="48"/>
      <c r="E83" s="48"/>
      <c r="F83" s="48"/>
      <c r="G83" s="48"/>
      <c r="H83" s="48"/>
      <c r="I83" s="48"/>
      <c r="J83" s="48"/>
      <c r="K83" s="48"/>
      <c r="L83" s="48"/>
      <c r="M83" s="48"/>
      <c r="N83" s="48"/>
      <c r="O83" s="48"/>
      <c r="P83" s="48"/>
      <c r="Q83" s="48"/>
      <c r="R83" s="48"/>
      <c r="S83" s="48"/>
      <c r="T83" s="48"/>
      <c r="U83" s="48"/>
      <c r="V83" s="48"/>
    </row>
    <row r="84" spans="1:22">
      <c r="A84" s="48"/>
      <c r="B84" s="48"/>
      <c r="C84" s="48"/>
      <c r="D84" s="48"/>
      <c r="E84" s="48"/>
      <c r="F84" s="48"/>
      <c r="G84" s="48"/>
      <c r="H84" s="48"/>
      <c r="I84" s="48"/>
      <c r="J84" s="48"/>
      <c r="K84" s="48"/>
      <c r="L84" s="48"/>
      <c r="M84" s="48"/>
      <c r="N84" s="48"/>
      <c r="O84" s="48"/>
      <c r="P84" s="48"/>
      <c r="Q84" s="48"/>
      <c r="R84" s="48"/>
      <c r="S84" s="48"/>
      <c r="T84" s="48"/>
      <c r="U84" s="48"/>
      <c r="V84" s="48"/>
    </row>
    <row r="85" spans="1:22">
      <c r="A85" s="48"/>
      <c r="B85" s="48"/>
      <c r="C85" s="48"/>
      <c r="D85" s="48"/>
      <c r="E85" s="48"/>
      <c r="F85" s="48"/>
      <c r="G85" s="48"/>
      <c r="H85" s="48"/>
      <c r="I85" s="48"/>
      <c r="J85" s="48"/>
      <c r="K85" s="48"/>
      <c r="L85" s="48"/>
      <c r="M85" s="48"/>
      <c r="N85" s="48"/>
      <c r="O85" s="48"/>
      <c r="P85" s="48"/>
      <c r="Q85" s="48"/>
      <c r="R85" s="48"/>
      <c r="S85" s="48"/>
      <c r="T85" s="48"/>
      <c r="U85" s="48"/>
      <c r="V85" s="48"/>
    </row>
    <row r="86" spans="1:22">
      <c r="A86" s="48"/>
      <c r="B86" s="48"/>
      <c r="C86" s="48"/>
      <c r="D86" s="48"/>
      <c r="E86" s="48"/>
      <c r="F86" s="48"/>
      <c r="G86" s="48"/>
      <c r="H86" s="48"/>
      <c r="I86" s="48"/>
      <c r="J86" s="48"/>
      <c r="K86" s="48"/>
      <c r="L86" s="48"/>
      <c r="M86" s="48"/>
      <c r="N86" s="48"/>
      <c r="O86" s="48"/>
      <c r="P86" s="48"/>
      <c r="Q86" s="48"/>
      <c r="R86" s="48"/>
      <c r="S86" s="48"/>
      <c r="T86" s="48"/>
      <c r="U86" s="48"/>
      <c r="V86" s="48"/>
    </row>
    <row r="87" spans="1:22">
      <c r="A87" s="48"/>
      <c r="B87" s="48"/>
      <c r="C87" s="48"/>
      <c r="D87" s="48"/>
      <c r="E87" s="48"/>
      <c r="F87" s="48"/>
      <c r="G87" s="48"/>
      <c r="H87" s="48"/>
      <c r="I87" s="48"/>
      <c r="J87" s="48"/>
      <c r="K87" s="48"/>
      <c r="L87" s="48"/>
      <c r="M87" s="48"/>
      <c r="N87" s="48"/>
      <c r="O87" s="48"/>
      <c r="P87" s="48"/>
      <c r="Q87" s="48"/>
      <c r="R87" s="48"/>
      <c r="S87" s="48"/>
      <c r="T87" s="48"/>
      <c r="U87" s="48"/>
      <c r="V87" s="48"/>
    </row>
    <row r="88" spans="1:22">
      <c r="A88" s="48"/>
      <c r="B88" s="48"/>
      <c r="C88" s="48"/>
      <c r="D88" s="48"/>
      <c r="E88" s="48"/>
      <c r="F88" s="48"/>
      <c r="G88" s="48"/>
      <c r="H88" s="48"/>
      <c r="I88" s="48"/>
      <c r="J88" s="48"/>
      <c r="K88" s="48"/>
      <c r="L88" s="48"/>
      <c r="M88" s="48"/>
      <c r="N88" s="48"/>
      <c r="O88" s="48"/>
      <c r="P88" s="48"/>
      <c r="Q88" s="48"/>
      <c r="R88" s="48"/>
      <c r="S88" s="48"/>
      <c r="T88" s="48"/>
      <c r="U88" s="48"/>
      <c r="V88" s="48"/>
    </row>
    <row r="89" spans="1:22">
      <c r="A89" s="48"/>
      <c r="B89" s="48"/>
      <c r="C89" s="48"/>
      <c r="D89" s="48"/>
      <c r="E89" s="48"/>
      <c r="F89" s="48"/>
      <c r="G89" s="48"/>
      <c r="H89" s="48"/>
      <c r="I89" s="48"/>
      <c r="J89" s="48"/>
      <c r="K89" s="48"/>
      <c r="L89" s="48"/>
      <c r="M89" s="48"/>
      <c r="N89" s="48"/>
      <c r="O89" s="48"/>
      <c r="P89" s="48"/>
      <c r="Q89" s="48"/>
      <c r="R89" s="48"/>
      <c r="S89" s="48"/>
      <c r="T89" s="48"/>
      <c r="U89" s="48"/>
      <c r="V89" s="48"/>
    </row>
    <row r="90" spans="1:22">
      <c r="A90" s="48"/>
      <c r="B90" s="48"/>
      <c r="C90" s="48"/>
      <c r="D90" s="48"/>
      <c r="E90" s="48"/>
      <c r="F90" s="48"/>
      <c r="G90" s="48"/>
      <c r="H90" s="48"/>
      <c r="I90" s="48"/>
      <c r="J90" s="48"/>
      <c r="K90" s="48"/>
      <c r="L90" s="48"/>
      <c r="M90" s="48"/>
      <c r="N90" s="48"/>
      <c r="O90" s="48"/>
      <c r="P90" s="48"/>
      <c r="Q90" s="48"/>
      <c r="R90" s="48"/>
      <c r="S90" s="48"/>
      <c r="T90" s="48"/>
      <c r="U90" s="48"/>
      <c r="V90" s="48"/>
    </row>
    <row r="91" spans="1:22">
      <c r="A91" s="48"/>
      <c r="B91" s="48"/>
      <c r="C91" s="48"/>
      <c r="D91" s="48"/>
      <c r="E91" s="48"/>
      <c r="F91" s="48"/>
      <c r="G91" s="48"/>
      <c r="H91" s="48"/>
      <c r="I91" s="48"/>
      <c r="J91" s="48"/>
      <c r="K91" s="48"/>
      <c r="L91" s="48"/>
      <c r="M91" s="48"/>
      <c r="N91" s="48"/>
      <c r="O91" s="48"/>
      <c r="P91" s="48"/>
      <c r="Q91" s="48"/>
      <c r="R91" s="48"/>
      <c r="S91" s="48"/>
      <c r="T91" s="48"/>
      <c r="U91" s="48"/>
      <c r="V91" s="48"/>
    </row>
    <row r="92" spans="1:22">
      <c r="A92" s="48"/>
      <c r="B92" s="48"/>
      <c r="C92" s="48"/>
      <c r="D92" s="48"/>
      <c r="E92" s="48"/>
      <c r="F92" s="48"/>
      <c r="G92" s="48"/>
      <c r="H92" s="48"/>
      <c r="I92" s="48"/>
      <c r="J92" s="48"/>
      <c r="K92" s="48"/>
      <c r="L92" s="48"/>
      <c r="M92" s="48"/>
      <c r="N92" s="48"/>
      <c r="O92" s="48"/>
      <c r="P92" s="48"/>
      <c r="Q92" s="48"/>
      <c r="R92" s="48"/>
      <c r="S92" s="48"/>
      <c r="T92" s="48"/>
      <c r="U92" s="48"/>
      <c r="V92" s="48"/>
    </row>
    <row r="93" spans="1:22">
      <c r="A93" s="48"/>
      <c r="B93" s="48"/>
      <c r="C93" s="48"/>
      <c r="D93" s="48"/>
      <c r="E93" s="48"/>
      <c r="F93" s="48"/>
      <c r="G93" s="48"/>
      <c r="H93" s="48"/>
      <c r="I93" s="48"/>
      <c r="J93" s="48"/>
      <c r="K93" s="48"/>
      <c r="L93" s="48"/>
      <c r="M93" s="48"/>
      <c r="N93" s="48"/>
      <c r="O93" s="48"/>
      <c r="P93" s="48"/>
      <c r="Q93" s="48"/>
      <c r="R93" s="48"/>
      <c r="S93" s="48"/>
      <c r="T93" s="48"/>
      <c r="U93" s="48"/>
      <c r="V93" s="48"/>
    </row>
    <row r="94" spans="1:22">
      <c r="A94" s="48"/>
      <c r="B94" s="48"/>
      <c r="C94" s="48"/>
      <c r="D94" s="48"/>
      <c r="E94" s="48"/>
      <c r="F94" s="48"/>
      <c r="G94" s="48"/>
      <c r="H94" s="48"/>
      <c r="I94" s="48"/>
      <c r="J94" s="48"/>
      <c r="K94" s="48"/>
      <c r="L94" s="48"/>
      <c r="M94" s="48"/>
      <c r="N94" s="48"/>
      <c r="O94" s="48"/>
      <c r="P94" s="48"/>
      <c r="Q94" s="48"/>
      <c r="R94" s="48"/>
      <c r="S94" s="48"/>
      <c r="T94" s="48"/>
      <c r="U94" s="48"/>
      <c r="V94" s="48"/>
    </row>
    <row r="95" spans="1:22">
      <c r="A95" s="48"/>
      <c r="B95" s="48"/>
      <c r="C95" s="48"/>
      <c r="D95" s="48"/>
      <c r="E95" s="48"/>
      <c r="F95" s="48"/>
      <c r="G95" s="48"/>
      <c r="H95" s="48"/>
      <c r="I95" s="48"/>
      <c r="J95" s="48"/>
      <c r="K95" s="48"/>
      <c r="L95" s="48"/>
      <c r="M95" s="48"/>
      <c r="N95" s="48"/>
      <c r="O95" s="48"/>
      <c r="P95" s="48"/>
      <c r="Q95" s="48"/>
      <c r="R95" s="48"/>
      <c r="S95" s="48"/>
      <c r="T95" s="48"/>
      <c r="U95" s="48"/>
      <c r="V95" s="48"/>
    </row>
    <row r="96" spans="1:22">
      <c r="A96" s="48"/>
      <c r="B96" s="48"/>
      <c r="C96" s="48"/>
      <c r="D96" s="48"/>
      <c r="E96" s="48"/>
      <c r="F96" s="48"/>
      <c r="G96" s="48"/>
      <c r="H96" s="48"/>
      <c r="I96" s="48"/>
      <c r="J96" s="48"/>
      <c r="K96" s="48"/>
      <c r="L96" s="48"/>
      <c r="M96" s="48"/>
      <c r="N96" s="48"/>
      <c r="O96" s="48"/>
      <c r="P96" s="48"/>
      <c r="Q96" s="48"/>
      <c r="R96" s="48"/>
      <c r="S96" s="48"/>
      <c r="T96" s="48"/>
      <c r="U96" s="48"/>
      <c r="V96" s="48"/>
    </row>
    <row r="97" spans="1:22">
      <c r="A97" s="48"/>
      <c r="B97" s="48"/>
      <c r="C97" s="48"/>
      <c r="D97" s="48"/>
      <c r="E97" s="48"/>
      <c r="F97" s="48"/>
      <c r="G97" s="48"/>
      <c r="H97" s="48"/>
      <c r="I97" s="48"/>
      <c r="J97" s="48"/>
      <c r="K97" s="48"/>
      <c r="L97" s="48"/>
      <c r="M97" s="48"/>
      <c r="N97" s="48"/>
      <c r="O97" s="48"/>
      <c r="P97" s="48"/>
      <c r="Q97" s="48"/>
      <c r="R97" s="48"/>
      <c r="S97" s="48"/>
      <c r="T97" s="48"/>
      <c r="U97" s="48"/>
      <c r="V97" s="48"/>
    </row>
    <row r="98" spans="1:22">
      <c r="A98" s="48"/>
      <c r="B98" s="48"/>
      <c r="C98" s="48"/>
      <c r="D98" s="48"/>
      <c r="E98" s="48"/>
      <c r="F98" s="48"/>
      <c r="G98" s="48"/>
      <c r="H98" s="48"/>
      <c r="I98" s="48"/>
      <c r="J98" s="48"/>
      <c r="K98" s="48"/>
      <c r="L98" s="48"/>
      <c r="M98" s="48"/>
      <c r="N98" s="48"/>
      <c r="O98" s="48"/>
      <c r="P98" s="48"/>
      <c r="Q98" s="48"/>
      <c r="R98" s="48"/>
      <c r="S98" s="48"/>
      <c r="T98" s="48"/>
      <c r="U98" s="48"/>
      <c r="V98" s="48"/>
    </row>
    <row r="99" spans="1:22">
      <c r="A99" s="48"/>
      <c r="B99" s="48"/>
      <c r="C99" s="48"/>
      <c r="D99" s="48"/>
      <c r="E99" s="48"/>
      <c r="F99" s="48"/>
      <c r="G99" s="48"/>
      <c r="H99" s="48"/>
      <c r="I99" s="48"/>
      <c r="J99" s="48"/>
      <c r="K99" s="48"/>
      <c r="L99" s="48"/>
      <c r="M99" s="48"/>
      <c r="N99" s="48"/>
      <c r="O99" s="48"/>
      <c r="P99" s="48"/>
      <c r="Q99" s="48"/>
      <c r="R99" s="48"/>
      <c r="S99" s="48"/>
      <c r="T99" s="48"/>
      <c r="U99" s="48"/>
      <c r="V99" s="48"/>
    </row>
    <row r="100" spans="1:22">
      <c r="A100" s="48"/>
      <c r="B100" s="48"/>
      <c r="C100" s="48"/>
      <c r="D100" s="48"/>
      <c r="E100" s="48"/>
      <c r="F100" s="48"/>
      <c r="G100" s="48"/>
      <c r="H100" s="48"/>
      <c r="I100" s="48"/>
      <c r="J100" s="48"/>
      <c r="K100" s="48"/>
      <c r="L100" s="48"/>
      <c r="M100" s="48"/>
      <c r="N100" s="48"/>
      <c r="O100" s="48"/>
      <c r="P100" s="48"/>
      <c r="Q100" s="48"/>
      <c r="R100" s="48"/>
      <c r="S100" s="48"/>
      <c r="T100" s="48"/>
      <c r="U100" s="48"/>
      <c r="V100" s="48"/>
    </row>
    <row r="101" spans="1:22">
      <c r="A101" s="48"/>
      <c r="B101" s="48"/>
      <c r="C101" s="48"/>
      <c r="D101" s="48"/>
      <c r="E101" s="48"/>
      <c r="F101" s="48"/>
      <c r="G101" s="48"/>
      <c r="H101" s="48"/>
      <c r="I101" s="48"/>
      <c r="J101" s="48"/>
      <c r="K101" s="48"/>
      <c r="L101" s="48"/>
      <c r="M101" s="48"/>
      <c r="N101" s="48"/>
      <c r="O101" s="48"/>
      <c r="P101" s="48"/>
      <c r="Q101" s="48"/>
      <c r="R101" s="48"/>
      <c r="S101" s="48"/>
      <c r="T101" s="48"/>
      <c r="U101" s="48"/>
      <c r="V101" s="48"/>
    </row>
    <row r="102" spans="1:22">
      <c r="A102" s="48"/>
      <c r="B102" s="48"/>
      <c r="C102" s="48"/>
      <c r="D102" s="48"/>
      <c r="E102" s="48"/>
      <c r="F102" s="48"/>
      <c r="G102" s="48"/>
      <c r="H102" s="48"/>
      <c r="I102" s="48"/>
      <c r="J102" s="48"/>
      <c r="K102" s="48"/>
      <c r="L102" s="48"/>
      <c r="M102" s="48"/>
      <c r="N102" s="48"/>
      <c r="O102" s="48"/>
      <c r="P102" s="48"/>
      <c r="Q102" s="48"/>
      <c r="R102" s="48"/>
      <c r="S102" s="48"/>
      <c r="T102" s="48"/>
      <c r="U102" s="48"/>
      <c r="V102" s="48"/>
    </row>
    <row r="103" spans="1:22">
      <c r="A103" s="48"/>
      <c r="B103" s="48"/>
      <c r="C103" s="48"/>
      <c r="D103" s="48"/>
      <c r="E103" s="48"/>
      <c r="F103" s="48"/>
      <c r="G103" s="48"/>
      <c r="H103" s="48"/>
      <c r="I103" s="48"/>
      <c r="J103" s="48"/>
      <c r="K103" s="48"/>
      <c r="L103" s="48"/>
      <c r="M103" s="48"/>
      <c r="N103" s="48"/>
      <c r="O103" s="48"/>
      <c r="P103" s="48"/>
      <c r="Q103" s="48"/>
      <c r="R103" s="48"/>
      <c r="S103" s="48"/>
      <c r="T103" s="48"/>
      <c r="U103" s="48"/>
      <c r="V103" s="48"/>
    </row>
    <row r="104" spans="1:22">
      <c r="A104" s="48"/>
      <c r="B104" s="48"/>
      <c r="C104" s="48"/>
      <c r="D104" s="48"/>
      <c r="E104" s="48"/>
      <c r="F104" s="48"/>
      <c r="G104" s="48"/>
      <c r="H104" s="48"/>
      <c r="I104" s="48"/>
      <c r="J104" s="48"/>
      <c r="K104" s="48"/>
      <c r="L104" s="48"/>
      <c r="M104" s="48"/>
      <c r="N104" s="48"/>
      <c r="O104" s="48"/>
      <c r="P104" s="48"/>
      <c r="Q104" s="48"/>
      <c r="R104" s="48"/>
      <c r="S104" s="48"/>
      <c r="T104" s="48"/>
      <c r="U104" s="48"/>
      <c r="V104" s="48"/>
    </row>
    <row r="105" spans="1:22">
      <c r="A105" s="48"/>
      <c r="B105" s="48"/>
      <c r="C105" s="48"/>
      <c r="D105" s="48"/>
      <c r="E105" s="48"/>
      <c r="F105" s="48"/>
      <c r="G105" s="48"/>
      <c r="H105" s="48"/>
      <c r="I105" s="48"/>
      <c r="J105" s="48"/>
      <c r="K105" s="48"/>
      <c r="L105" s="48"/>
      <c r="M105" s="48"/>
      <c r="N105" s="48"/>
      <c r="O105" s="48"/>
      <c r="P105" s="48"/>
      <c r="Q105" s="48"/>
      <c r="R105" s="48"/>
      <c r="S105" s="48"/>
      <c r="T105" s="48"/>
      <c r="U105" s="48"/>
      <c r="V105" s="48"/>
    </row>
    <row r="106" spans="1:22">
      <c r="A106" s="48"/>
      <c r="B106" s="48"/>
      <c r="C106" s="48"/>
      <c r="D106" s="48"/>
      <c r="E106" s="48"/>
      <c r="F106" s="48"/>
      <c r="G106" s="48"/>
      <c r="H106" s="48"/>
      <c r="I106" s="48"/>
      <c r="J106" s="48"/>
      <c r="K106" s="48"/>
      <c r="L106" s="48"/>
      <c r="M106" s="48"/>
      <c r="N106" s="48"/>
      <c r="O106" s="48"/>
      <c r="P106" s="48"/>
      <c r="Q106" s="48"/>
      <c r="R106" s="48"/>
      <c r="S106" s="48"/>
      <c r="T106" s="48"/>
      <c r="U106" s="48"/>
      <c r="V106" s="48"/>
    </row>
    <row r="107" spans="1:22">
      <c r="A107" s="48"/>
      <c r="B107" s="48"/>
      <c r="C107" s="48"/>
      <c r="D107" s="48"/>
      <c r="E107" s="48"/>
      <c r="F107" s="48"/>
      <c r="G107" s="48"/>
      <c r="H107" s="48"/>
      <c r="I107" s="48"/>
      <c r="J107" s="48"/>
      <c r="K107" s="48"/>
      <c r="L107" s="48"/>
      <c r="M107" s="48"/>
      <c r="N107" s="48"/>
      <c r="O107" s="48"/>
      <c r="P107" s="48"/>
      <c r="Q107" s="48"/>
      <c r="R107" s="48"/>
      <c r="S107" s="48"/>
      <c r="T107" s="48"/>
      <c r="U107" s="48"/>
      <c r="V107" s="48"/>
    </row>
    <row r="108" spans="1:22">
      <c r="A108" s="48"/>
      <c r="B108" s="48"/>
      <c r="C108" s="48"/>
      <c r="D108" s="48"/>
      <c r="E108" s="48"/>
      <c r="F108" s="48"/>
      <c r="G108" s="48"/>
      <c r="H108" s="48"/>
      <c r="I108" s="48"/>
      <c r="J108" s="48"/>
      <c r="K108" s="48"/>
      <c r="L108" s="48"/>
      <c r="M108" s="48"/>
      <c r="N108" s="48"/>
      <c r="O108" s="48"/>
      <c r="P108" s="48"/>
      <c r="Q108" s="48"/>
      <c r="R108" s="48"/>
      <c r="S108" s="48"/>
      <c r="T108" s="48"/>
      <c r="U108" s="48"/>
      <c r="V108" s="48"/>
    </row>
    <row r="109" spans="1:22">
      <c r="A109" s="48"/>
      <c r="B109" s="48"/>
      <c r="C109" s="48"/>
      <c r="D109" s="48"/>
      <c r="E109" s="48"/>
      <c r="F109" s="48"/>
      <c r="G109" s="48"/>
      <c r="H109" s="48"/>
      <c r="I109" s="48"/>
      <c r="J109" s="48"/>
      <c r="K109" s="48"/>
      <c r="L109" s="48"/>
      <c r="M109" s="48"/>
      <c r="N109" s="48"/>
      <c r="O109" s="48"/>
      <c r="P109" s="48"/>
      <c r="Q109" s="48"/>
      <c r="R109" s="48"/>
      <c r="S109" s="48"/>
      <c r="T109" s="48"/>
      <c r="U109" s="48"/>
      <c r="V109" s="48"/>
    </row>
    <row r="110" spans="1:22">
      <c r="A110" s="48"/>
      <c r="B110" s="48"/>
      <c r="C110" s="48"/>
      <c r="D110" s="48"/>
      <c r="E110" s="48"/>
      <c r="F110" s="48"/>
      <c r="G110" s="48"/>
      <c r="H110" s="48"/>
      <c r="I110" s="48"/>
      <c r="J110" s="48"/>
      <c r="K110" s="48"/>
      <c r="L110" s="48"/>
      <c r="M110" s="48"/>
      <c r="N110" s="48"/>
      <c r="O110" s="48"/>
      <c r="P110" s="48"/>
      <c r="Q110" s="48"/>
      <c r="R110" s="48"/>
      <c r="S110" s="48"/>
      <c r="T110" s="48"/>
      <c r="U110" s="48"/>
      <c r="V110" s="48"/>
    </row>
    <row r="111" spans="1:22">
      <c r="A111" s="48"/>
      <c r="B111" s="48"/>
      <c r="C111" s="48"/>
      <c r="D111" s="48"/>
      <c r="E111" s="48"/>
      <c r="F111" s="48"/>
      <c r="G111" s="48"/>
      <c r="H111" s="48"/>
      <c r="I111" s="48"/>
      <c r="J111" s="48"/>
      <c r="K111" s="48"/>
      <c r="L111" s="48"/>
      <c r="M111" s="48"/>
      <c r="N111" s="48"/>
      <c r="O111" s="48"/>
      <c r="P111" s="48"/>
      <c r="Q111" s="48"/>
      <c r="R111" s="48"/>
      <c r="S111" s="48"/>
      <c r="T111" s="48"/>
      <c r="U111" s="48"/>
      <c r="V111" s="48"/>
    </row>
    <row r="112" spans="1:22">
      <c r="A112" s="48"/>
      <c r="B112" s="48"/>
      <c r="C112" s="48"/>
      <c r="D112" s="48"/>
      <c r="E112" s="48"/>
      <c r="F112" s="48"/>
      <c r="G112" s="48"/>
      <c r="H112" s="48"/>
      <c r="I112" s="48"/>
      <c r="J112" s="48"/>
      <c r="K112" s="48"/>
      <c r="L112" s="48"/>
      <c r="M112" s="48"/>
      <c r="N112" s="48"/>
      <c r="O112" s="48"/>
      <c r="P112" s="48"/>
      <c r="Q112" s="48"/>
      <c r="R112" s="48"/>
      <c r="S112" s="48"/>
      <c r="T112" s="48"/>
      <c r="U112" s="48"/>
      <c r="V112" s="48"/>
    </row>
    <row r="113" spans="1:22">
      <c r="A113" s="48"/>
      <c r="B113" s="48"/>
      <c r="C113" s="48"/>
      <c r="D113" s="48"/>
      <c r="E113" s="48"/>
      <c r="F113" s="48"/>
      <c r="G113" s="48"/>
      <c r="H113" s="48"/>
      <c r="I113" s="48"/>
      <c r="J113" s="48"/>
      <c r="K113" s="48"/>
      <c r="L113" s="48"/>
      <c r="M113" s="48"/>
      <c r="N113" s="48"/>
      <c r="O113" s="48"/>
      <c r="P113" s="48"/>
      <c r="Q113" s="48"/>
      <c r="R113" s="48"/>
      <c r="S113" s="48"/>
      <c r="T113" s="48"/>
      <c r="U113" s="48"/>
      <c r="V113" s="48"/>
    </row>
    <row r="114" spans="1:22">
      <c r="A114" s="48"/>
      <c r="B114" s="48"/>
      <c r="C114" s="48"/>
      <c r="D114" s="48"/>
      <c r="E114" s="48"/>
      <c r="F114" s="48"/>
      <c r="G114" s="48"/>
      <c r="H114" s="48"/>
      <c r="I114" s="48"/>
      <c r="J114" s="48"/>
      <c r="K114" s="48"/>
      <c r="L114" s="48"/>
      <c r="M114" s="48"/>
      <c r="N114" s="48"/>
      <c r="O114" s="48"/>
      <c r="P114" s="48"/>
      <c r="Q114" s="48"/>
      <c r="R114" s="48"/>
      <c r="S114" s="48"/>
      <c r="T114" s="48"/>
      <c r="U114" s="48"/>
      <c r="V114" s="48"/>
    </row>
    <row r="115" spans="1:22">
      <c r="A115" s="48"/>
      <c r="B115" s="48"/>
      <c r="C115" s="48"/>
      <c r="D115" s="48"/>
      <c r="E115" s="48"/>
      <c r="F115" s="48"/>
      <c r="G115" s="48"/>
      <c r="H115" s="48"/>
      <c r="I115" s="48"/>
      <c r="J115" s="48"/>
      <c r="K115" s="48"/>
      <c r="L115" s="48"/>
      <c r="M115" s="48"/>
      <c r="N115" s="48"/>
      <c r="O115" s="48"/>
      <c r="P115" s="48"/>
      <c r="Q115" s="48"/>
      <c r="R115" s="48"/>
      <c r="S115" s="48"/>
      <c r="T115" s="48"/>
      <c r="U115" s="48"/>
      <c r="V115" s="48"/>
    </row>
    <row r="116" spans="1:22">
      <c r="A116" s="48"/>
      <c r="B116" s="48"/>
      <c r="C116" s="48"/>
      <c r="D116" s="48"/>
      <c r="E116" s="48"/>
      <c r="F116" s="48"/>
      <c r="G116" s="48"/>
      <c r="H116" s="48"/>
      <c r="I116" s="48"/>
      <c r="J116" s="48"/>
      <c r="K116" s="48"/>
      <c r="L116" s="48"/>
      <c r="M116" s="48"/>
      <c r="N116" s="48"/>
      <c r="O116" s="48"/>
      <c r="P116" s="48"/>
      <c r="Q116" s="48"/>
      <c r="R116" s="48"/>
      <c r="S116" s="48"/>
      <c r="T116" s="48"/>
      <c r="U116" s="48"/>
      <c r="V116" s="48"/>
    </row>
    <row r="117" spans="1:22">
      <c r="A117" s="48"/>
      <c r="B117" s="48"/>
      <c r="C117" s="48"/>
      <c r="D117" s="48"/>
      <c r="E117" s="48"/>
      <c r="F117" s="48"/>
      <c r="G117" s="48"/>
      <c r="H117" s="48"/>
      <c r="I117" s="48"/>
      <c r="J117" s="48"/>
      <c r="K117" s="48"/>
      <c r="L117" s="48"/>
      <c r="M117" s="48"/>
      <c r="N117" s="48"/>
      <c r="O117" s="48"/>
      <c r="P117" s="48"/>
      <c r="Q117" s="48"/>
      <c r="R117" s="48"/>
      <c r="S117" s="48"/>
      <c r="T117" s="48"/>
      <c r="U117" s="48"/>
      <c r="V117" s="48"/>
    </row>
    <row r="118" spans="1:22">
      <c r="A118" s="48"/>
      <c r="B118" s="48"/>
      <c r="C118" s="48"/>
      <c r="D118" s="48"/>
      <c r="E118" s="48"/>
      <c r="F118" s="48"/>
      <c r="G118" s="48"/>
      <c r="H118" s="48"/>
      <c r="I118" s="48"/>
      <c r="J118" s="48"/>
      <c r="K118" s="48"/>
      <c r="L118" s="48"/>
      <c r="M118" s="48"/>
      <c r="N118" s="48"/>
      <c r="O118" s="48"/>
      <c r="P118" s="48"/>
      <c r="Q118" s="48"/>
      <c r="R118" s="48"/>
      <c r="S118" s="48"/>
      <c r="T118" s="48"/>
      <c r="U118" s="48"/>
      <c r="V118" s="48"/>
    </row>
    <row r="119" spans="1:22">
      <c r="A119" s="48"/>
      <c r="B119" s="48"/>
      <c r="C119" s="48"/>
      <c r="D119" s="48"/>
      <c r="E119" s="48"/>
      <c r="F119" s="48"/>
      <c r="G119" s="48"/>
      <c r="H119" s="48"/>
      <c r="I119" s="48"/>
      <c r="J119" s="48"/>
      <c r="K119" s="48"/>
      <c r="L119" s="48"/>
      <c r="M119" s="48"/>
      <c r="N119" s="48"/>
      <c r="O119" s="48"/>
      <c r="P119" s="48"/>
      <c r="Q119" s="48"/>
      <c r="R119" s="48"/>
      <c r="S119" s="48"/>
      <c r="T119" s="48"/>
      <c r="U119" s="48"/>
      <c r="V119" s="48"/>
    </row>
    <row r="120" spans="1:22">
      <c r="A120" s="48"/>
      <c r="B120" s="48"/>
      <c r="C120" s="48"/>
      <c r="D120" s="48"/>
      <c r="E120" s="48"/>
      <c r="F120" s="48"/>
      <c r="G120" s="48"/>
      <c r="H120" s="48"/>
      <c r="I120" s="48"/>
      <c r="J120" s="48"/>
      <c r="K120" s="48"/>
      <c r="L120" s="48"/>
      <c r="M120" s="48"/>
      <c r="N120" s="48"/>
      <c r="O120" s="48"/>
      <c r="P120" s="48"/>
      <c r="Q120" s="48"/>
      <c r="R120" s="48"/>
      <c r="S120" s="48"/>
      <c r="T120" s="48"/>
      <c r="U120" s="48"/>
      <c r="V120" s="48"/>
    </row>
    <row r="121" spans="1:22">
      <c r="A121" s="48"/>
      <c r="B121" s="48"/>
      <c r="C121" s="48"/>
      <c r="D121" s="48"/>
      <c r="E121" s="48"/>
      <c r="F121" s="48"/>
      <c r="G121" s="48"/>
      <c r="H121" s="48"/>
      <c r="I121" s="48"/>
      <c r="J121" s="48"/>
      <c r="K121" s="48"/>
      <c r="L121" s="48"/>
      <c r="M121" s="48"/>
      <c r="N121" s="48"/>
      <c r="O121" s="48"/>
      <c r="P121" s="48"/>
      <c r="Q121" s="48"/>
      <c r="R121" s="48"/>
      <c r="S121" s="48"/>
      <c r="T121" s="48"/>
      <c r="U121" s="48"/>
      <c r="V121" s="48"/>
    </row>
    <row r="122" spans="1:22">
      <c r="A122" s="48"/>
      <c r="B122" s="48"/>
      <c r="C122" s="48"/>
      <c r="D122" s="48"/>
      <c r="E122" s="48"/>
      <c r="F122" s="48"/>
      <c r="G122" s="48"/>
      <c r="H122" s="48"/>
      <c r="I122" s="48"/>
      <c r="J122" s="48"/>
      <c r="K122" s="48"/>
      <c r="L122" s="48"/>
      <c r="M122" s="48"/>
      <c r="N122" s="48"/>
      <c r="O122" s="48"/>
      <c r="P122" s="48"/>
      <c r="Q122" s="48"/>
      <c r="R122" s="48"/>
      <c r="S122" s="48"/>
      <c r="T122" s="48"/>
      <c r="U122" s="48"/>
      <c r="V122" s="48"/>
    </row>
    <row r="123" spans="1:22">
      <c r="A123" s="48"/>
      <c r="B123" s="48"/>
      <c r="C123" s="48"/>
      <c r="D123" s="48"/>
      <c r="E123" s="48"/>
      <c r="F123" s="48"/>
      <c r="G123" s="48"/>
      <c r="H123" s="48"/>
      <c r="I123" s="48"/>
      <c r="J123" s="48"/>
      <c r="K123" s="48"/>
      <c r="L123" s="48"/>
      <c r="M123" s="48"/>
      <c r="N123" s="48"/>
      <c r="O123" s="48"/>
      <c r="P123" s="48"/>
      <c r="Q123" s="48"/>
      <c r="R123" s="48"/>
      <c r="S123" s="48"/>
      <c r="T123" s="48"/>
      <c r="U123" s="48"/>
      <c r="V123" s="48"/>
    </row>
    <row r="124" spans="1:22">
      <c r="A124" s="48"/>
      <c r="B124" s="48"/>
      <c r="C124" s="48"/>
      <c r="D124" s="48"/>
      <c r="E124" s="48"/>
      <c r="F124" s="48"/>
      <c r="G124" s="48"/>
      <c r="H124" s="48"/>
      <c r="I124" s="48"/>
      <c r="J124" s="48"/>
      <c r="K124" s="48"/>
      <c r="L124" s="48"/>
      <c r="M124" s="48"/>
      <c r="N124" s="48"/>
      <c r="O124" s="48"/>
      <c r="P124" s="48"/>
      <c r="Q124" s="48"/>
      <c r="R124" s="48"/>
      <c r="S124" s="48"/>
      <c r="T124" s="48"/>
      <c r="U124" s="48"/>
      <c r="V124" s="48"/>
    </row>
    <row r="125" spans="1:22">
      <c r="A125" s="48"/>
      <c r="B125" s="48"/>
      <c r="C125" s="48"/>
      <c r="D125" s="48"/>
      <c r="E125" s="48"/>
      <c r="F125" s="48"/>
      <c r="G125" s="48"/>
      <c r="H125" s="48"/>
      <c r="I125" s="48"/>
      <c r="J125" s="48"/>
      <c r="K125" s="48"/>
      <c r="L125" s="48"/>
      <c r="M125" s="48"/>
      <c r="N125" s="48"/>
      <c r="O125" s="48"/>
      <c r="P125" s="48"/>
      <c r="Q125" s="48"/>
      <c r="R125" s="48"/>
      <c r="S125" s="48"/>
      <c r="T125" s="48"/>
      <c r="U125" s="48"/>
      <c r="V125" s="48"/>
    </row>
    <row r="126" spans="1:22">
      <c r="A126" s="48"/>
      <c r="B126" s="48"/>
      <c r="C126" s="48"/>
      <c r="D126" s="48"/>
      <c r="E126" s="48"/>
      <c r="F126" s="48"/>
      <c r="G126" s="48"/>
      <c r="H126" s="48"/>
      <c r="I126" s="48"/>
      <c r="J126" s="48"/>
      <c r="K126" s="48"/>
      <c r="L126" s="48"/>
      <c r="M126" s="48"/>
      <c r="N126" s="48"/>
      <c r="O126" s="48"/>
      <c r="P126" s="48"/>
      <c r="Q126" s="48"/>
      <c r="R126" s="48"/>
      <c r="S126" s="48"/>
      <c r="T126" s="48"/>
      <c r="U126" s="48"/>
      <c r="V126" s="48"/>
    </row>
    <row r="127" spans="1:22">
      <c r="A127" s="48"/>
      <c r="B127" s="48"/>
      <c r="C127" s="48"/>
      <c r="D127" s="48"/>
      <c r="E127" s="48"/>
      <c r="F127" s="48"/>
      <c r="G127" s="48"/>
      <c r="H127" s="48"/>
      <c r="I127" s="48"/>
      <c r="J127" s="48"/>
      <c r="K127" s="48"/>
      <c r="L127" s="48"/>
      <c r="M127" s="48"/>
      <c r="N127" s="48"/>
      <c r="O127" s="48"/>
      <c r="P127" s="48"/>
      <c r="Q127" s="48"/>
      <c r="R127" s="48"/>
      <c r="S127" s="48"/>
      <c r="T127" s="48"/>
      <c r="U127" s="48"/>
      <c r="V127" s="48"/>
    </row>
    <row r="128" spans="1:22">
      <c r="A128" s="48"/>
      <c r="B128" s="48"/>
      <c r="C128" s="48"/>
      <c r="D128" s="48"/>
      <c r="E128" s="48"/>
      <c r="F128" s="48"/>
      <c r="G128" s="48"/>
      <c r="H128" s="48"/>
      <c r="I128" s="48"/>
      <c r="J128" s="48"/>
      <c r="K128" s="48"/>
      <c r="L128" s="48"/>
      <c r="M128" s="48"/>
      <c r="N128" s="48"/>
      <c r="O128" s="48"/>
      <c r="P128" s="48"/>
      <c r="Q128" s="48"/>
      <c r="R128" s="48"/>
      <c r="S128" s="48"/>
      <c r="T128" s="48"/>
      <c r="U128" s="48"/>
      <c r="V128" s="48"/>
    </row>
    <row r="129" spans="1:22">
      <c r="A129" s="48"/>
      <c r="B129" s="48"/>
      <c r="C129" s="48"/>
      <c r="D129" s="48"/>
      <c r="E129" s="48"/>
      <c r="F129" s="48"/>
      <c r="G129" s="48"/>
      <c r="H129" s="48"/>
      <c r="I129" s="48"/>
      <c r="J129" s="48"/>
      <c r="K129" s="48"/>
      <c r="L129" s="48"/>
      <c r="M129" s="48"/>
      <c r="N129" s="48"/>
      <c r="O129" s="48"/>
      <c r="P129" s="48"/>
      <c r="Q129" s="48"/>
      <c r="R129" s="48"/>
      <c r="S129" s="48"/>
      <c r="T129" s="48"/>
      <c r="U129" s="48"/>
      <c r="V129" s="48"/>
    </row>
    <row r="130" spans="1:22">
      <c r="A130" s="48"/>
      <c r="B130" s="48"/>
      <c r="C130" s="48"/>
      <c r="D130" s="48"/>
      <c r="E130" s="48"/>
      <c r="F130" s="48"/>
      <c r="G130" s="48"/>
      <c r="H130" s="48"/>
      <c r="I130" s="48"/>
      <c r="J130" s="48"/>
      <c r="K130" s="48"/>
      <c r="L130" s="48"/>
      <c r="M130" s="48"/>
      <c r="N130" s="48"/>
      <c r="O130" s="48"/>
      <c r="P130" s="48"/>
      <c r="Q130" s="48"/>
      <c r="R130" s="48"/>
      <c r="S130" s="48"/>
      <c r="T130" s="48"/>
      <c r="U130" s="48"/>
      <c r="V130" s="48"/>
    </row>
    <row r="131" spans="1:22">
      <c r="A131" s="48"/>
      <c r="B131" s="48"/>
      <c r="C131" s="48"/>
      <c r="D131" s="48"/>
      <c r="E131" s="48"/>
      <c r="F131" s="48"/>
      <c r="G131" s="48"/>
      <c r="H131" s="48"/>
      <c r="I131" s="48"/>
      <c r="J131" s="48"/>
      <c r="K131" s="48"/>
      <c r="L131" s="48"/>
      <c r="M131" s="48"/>
      <c r="N131" s="48"/>
      <c r="O131" s="48"/>
      <c r="P131" s="48"/>
      <c r="Q131" s="48"/>
      <c r="R131" s="48"/>
      <c r="S131" s="48"/>
      <c r="T131" s="48"/>
      <c r="U131" s="48"/>
      <c r="V131" s="48"/>
    </row>
    <row r="132" spans="1:22">
      <c r="A132" s="48"/>
      <c r="B132" s="48"/>
      <c r="C132" s="48"/>
      <c r="D132" s="48"/>
      <c r="E132" s="48"/>
      <c r="F132" s="48"/>
      <c r="G132" s="48"/>
      <c r="H132" s="48"/>
      <c r="I132" s="48"/>
      <c r="J132" s="48"/>
      <c r="K132" s="48"/>
      <c r="L132" s="48"/>
      <c r="M132" s="48"/>
      <c r="N132" s="48"/>
      <c r="O132" s="48"/>
      <c r="P132" s="48"/>
      <c r="Q132" s="48"/>
      <c r="R132" s="48"/>
      <c r="S132" s="48"/>
      <c r="T132" s="48"/>
      <c r="U132" s="48"/>
      <c r="V132" s="48"/>
    </row>
    <row r="133" spans="1:22">
      <c r="A133" s="48"/>
      <c r="B133" s="48"/>
      <c r="C133" s="48"/>
      <c r="D133" s="48"/>
      <c r="E133" s="48"/>
      <c r="F133" s="48"/>
      <c r="G133" s="48"/>
      <c r="H133" s="48"/>
      <c r="I133" s="48"/>
      <c r="J133" s="48"/>
      <c r="K133" s="48"/>
      <c r="L133" s="48"/>
      <c r="M133" s="48"/>
      <c r="N133" s="48"/>
      <c r="O133" s="48"/>
      <c r="P133" s="48"/>
      <c r="Q133" s="48"/>
      <c r="R133" s="48"/>
      <c r="S133" s="48"/>
      <c r="T133" s="48"/>
      <c r="U133" s="48"/>
      <c r="V133" s="48"/>
    </row>
    <row r="134" spans="1:22">
      <c r="A134" s="48"/>
      <c r="B134" s="48"/>
      <c r="C134" s="48"/>
      <c r="D134" s="48"/>
      <c r="E134" s="48"/>
      <c r="F134" s="48"/>
      <c r="G134" s="48"/>
      <c r="H134" s="48"/>
      <c r="I134" s="48"/>
      <c r="J134" s="48"/>
      <c r="K134" s="48"/>
      <c r="L134" s="48"/>
      <c r="M134" s="48"/>
      <c r="N134" s="48"/>
      <c r="O134" s="48"/>
      <c r="P134" s="48"/>
      <c r="Q134" s="48"/>
      <c r="R134" s="48"/>
      <c r="S134" s="48"/>
      <c r="T134" s="48"/>
      <c r="U134" s="48"/>
      <c r="V134" s="48"/>
    </row>
    <row r="135" spans="1:22">
      <c r="A135" s="48"/>
      <c r="B135" s="48"/>
      <c r="C135" s="48"/>
      <c r="D135" s="48"/>
      <c r="E135" s="48"/>
      <c r="F135" s="48"/>
      <c r="G135" s="48"/>
      <c r="H135" s="48"/>
      <c r="I135" s="48"/>
      <c r="J135" s="48"/>
      <c r="K135" s="48"/>
      <c r="L135" s="48"/>
      <c r="M135" s="48"/>
      <c r="N135" s="48"/>
      <c r="O135" s="48"/>
      <c r="P135" s="48"/>
      <c r="Q135" s="48"/>
      <c r="R135" s="48"/>
      <c r="S135" s="48"/>
      <c r="T135" s="48"/>
      <c r="U135" s="48"/>
      <c r="V135" s="48"/>
    </row>
    <row r="136" spans="1:22">
      <c r="A136" s="48"/>
      <c r="B136" s="48"/>
      <c r="C136" s="48"/>
      <c r="D136" s="48"/>
      <c r="E136" s="48"/>
      <c r="F136" s="48"/>
      <c r="G136" s="48"/>
      <c r="H136" s="48"/>
      <c r="I136" s="48"/>
      <c r="J136" s="48"/>
      <c r="K136" s="48"/>
      <c r="L136" s="48"/>
      <c r="M136" s="48"/>
      <c r="N136" s="48"/>
      <c r="O136" s="48"/>
      <c r="P136" s="48"/>
      <c r="Q136" s="48"/>
      <c r="R136" s="48"/>
      <c r="S136" s="48"/>
      <c r="T136" s="48"/>
      <c r="U136" s="48"/>
      <c r="V136" s="48"/>
    </row>
    <row r="137" spans="1:22">
      <c r="A137" s="48"/>
      <c r="B137" s="48"/>
      <c r="C137" s="48"/>
      <c r="D137" s="48"/>
      <c r="E137" s="48"/>
      <c r="F137" s="48"/>
      <c r="G137" s="48"/>
      <c r="H137" s="48"/>
      <c r="I137" s="48"/>
      <c r="J137" s="48"/>
      <c r="K137" s="48"/>
      <c r="L137" s="48"/>
      <c r="M137" s="48"/>
      <c r="N137" s="48"/>
      <c r="O137" s="48"/>
      <c r="P137" s="48"/>
      <c r="Q137" s="48"/>
      <c r="R137" s="48"/>
      <c r="S137" s="48"/>
      <c r="T137" s="48"/>
      <c r="U137" s="48"/>
      <c r="V137" s="48"/>
    </row>
    <row r="138" spans="1:22">
      <c r="A138" s="48"/>
      <c r="B138" s="48"/>
      <c r="C138" s="48"/>
      <c r="D138" s="48"/>
      <c r="E138" s="48"/>
      <c r="F138" s="48"/>
      <c r="G138" s="48"/>
      <c r="H138" s="48"/>
      <c r="I138" s="48"/>
      <c r="J138" s="48"/>
      <c r="K138" s="48"/>
      <c r="L138" s="48"/>
      <c r="M138" s="48"/>
      <c r="N138" s="48"/>
      <c r="O138" s="48"/>
      <c r="P138" s="48"/>
      <c r="Q138" s="48"/>
      <c r="R138" s="48"/>
      <c r="S138" s="48"/>
      <c r="T138" s="48"/>
      <c r="U138" s="48"/>
      <c r="V138" s="48"/>
    </row>
    <row r="139" spans="1:22">
      <c r="A139" s="48"/>
      <c r="B139" s="48"/>
      <c r="C139" s="48"/>
      <c r="D139" s="48"/>
      <c r="E139" s="48"/>
      <c r="F139" s="48"/>
      <c r="G139" s="48"/>
      <c r="H139" s="48"/>
      <c r="I139" s="48"/>
      <c r="J139" s="48"/>
      <c r="K139" s="48"/>
      <c r="L139" s="48"/>
      <c r="M139" s="48"/>
      <c r="N139" s="48"/>
      <c r="O139" s="48"/>
      <c r="P139" s="48"/>
      <c r="Q139" s="48"/>
      <c r="R139" s="48"/>
      <c r="S139" s="48"/>
      <c r="T139" s="48"/>
      <c r="U139" s="48"/>
      <c r="V139" s="48"/>
    </row>
    <row r="140" spans="1:22">
      <c r="A140" s="48"/>
      <c r="B140" s="48"/>
      <c r="C140" s="48"/>
      <c r="D140" s="48"/>
      <c r="E140" s="48"/>
      <c r="F140" s="48"/>
      <c r="G140" s="48"/>
      <c r="H140" s="48"/>
      <c r="I140" s="48"/>
      <c r="J140" s="48"/>
      <c r="K140" s="48"/>
      <c r="L140" s="48"/>
      <c r="M140" s="48"/>
      <c r="N140" s="48"/>
      <c r="O140" s="48"/>
      <c r="P140" s="48"/>
      <c r="Q140" s="48"/>
      <c r="R140" s="48"/>
      <c r="S140" s="48"/>
      <c r="T140" s="48"/>
      <c r="U140" s="48"/>
      <c r="V140" s="48"/>
    </row>
    <row r="141" spans="1:22">
      <c r="A141" s="48"/>
      <c r="B141" s="48"/>
      <c r="C141" s="48"/>
      <c r="D141" s="48"/>
      <c r="E141" s="48"/>
      <c r="F141" s="48"/>
      <c r="G141" s="48"/>
      <c r="H141" s="48"/>
      <c r="I141" s="48"/>
      <c r="J141" s="48"/>
      <c r="K141" s="48"/>
      <c r="L141" s="48"/>
      <c r="M141" s="48"/>
      <c r="N141" s="48"/>
      <c r="O141" s="48"/>
      <c r="P141" s="48"/>
      <c r="Q141" s="48"/>
      <c r="R141" s="48"/>
      <c r="S141" s="48"/>
      <c r="T141" s="48"/>
      <c r="U141" s="48"/>
      <c r="V141" s="48"/>
    </row>
    <row r="142" spans="1:22">
      <c r="A142" s="48"/>
      <c r="B142" s="48"/>
      <c r="C142" s="48"/>
      <c r="D142" s="48"/>
      <c r="E142" s="48"/>
      <c r="F142" s="48"/>
      <c r="G142" s="48"/>
      <c r="H142" s="48"/>
      <c r="I142" s="48"/>
      <c r="J142" s="48"/>
      <c r="K142" s="48"/>
      <c r="L142" s="48"/>
      <c r="M142" s="48"/>
      <c r="N142" s="48"/>
      <c r="O142" s="48"/>
      <c r="P142" s="48"/>
      <c r="Q142" s="48"/>
      <c r="R142" s="48"/>
      <c r="S142" s="48"/>
      <c r="T142" s="48"/>
      <c r="U142" s="48"/>
      <c r="V142" s="48"/>
    </row>
    <row r="143" spans="1:22">
      <c r="A143" s="48"/>
      <c r="B143" s="48"/>
      <c r="C143" s="48"/>
      <c r="D143" s="48"/>
      <c r="E143" s="48"/>
      <c r="F143" s="48"/>
      <c r="G143" s="48"/>
      <c r="H143" s="48"/>
      <c r="I143" s="48"/>
      <c r="J143" s="48"/>
      <c r="K143" s="48"/>
      <c r="L143" s="48"/>
      <c r="M143" s="48"/>
      <c r="N143" s="48"/>
      <c r="O143" s="48"/>
      <c r="P143" s="48"/>
      <c r="Q143" s="48"/>
      <c r="R143" s="48"/>
      <c r="S143" s="48"/>
      <c r="T143" s="48"/>
      <c r="U143" s="48"/>
      <c r="V143" s="48"/>
    </row>
    <row r="144" spans="1:22">
      <c r="A144" s="48"/>
      <c r="B144" s="48"/>
      <c r="C144" s="48"/>
      <c r="D144" s="48"/>
      <c r="E144" s="48"/>
      <c r="F144" s="48"/>
      <c r="G144" s="48"/>
      <c r="H144" s="48"/>
      <c r="I144" s="48"/>
      <c r="J144" s="48"/>
      <c r="K144" s="48"/>
      <c r="L144" s="48"/>
      <c r="M144" s="48"/>
      <c r="N144" s="48"/>
      <c r="O144" s="48"/>
      <c r="P144" s="48"/>
      <c r="Q144" s="48"/>
      <c r="R144" s="48"/>
      <c r="S144" s="48"/>
      <c r="T144" s="48"/>
      <c r="U144" s="48"/>
      <c r="V144" s="48"/>
    </row>
    <row r="145" spans="1:22">
      <c r="A145" s="48"/>
      <c r="B145" s="48"/>
      <c r="C145" s="48"/>
      <c r="D145" s="48"/>
      <c r="E145" s="48"/>
      <c r="F145" s="48"/>
      <c r="G145" s="48"/>
      <c r="H145" s="48"/>
      <c r="I145" s="48"/>
      <c r="J145" s="48"/>
      <c r="K145" s="48"/>
      <c r="L145" s="48"/>
      <c r="M145" s="48"/>
      <c r="N145" s="48"/>
      <c r="O145" s="48"/>
      <c r="P145" s="48"/>
      <c r="Q145" s="48"/>
      <c r="R145" s="48"/>
      <c r="S145" s="48"/>
      <c r="T145" s="48"/>
      <c r="U145" s="48"/>
      <c r="V145" s="48"/>
    </row>
    <row r="146" spans="1:22">
      <c r="A146" s="48"/>
      <c r="B146" s="48"/>
      <c r="C146" s="48"/>
      <c r="D146" s="48"/>
      <c r="E146" s="48"/>
      <c r="F146" s="48"/>
      <c r="G146" s="48"/>
      <c r="H146" s="48"/>
      <c r="I146" s="48"/>
      <c r="J146" s="48"/>
      <c r="K146" s="48"/>
      <c r="L146" s="48"/>
      <c r="M146" s="48"/>
      <c r="N146" s="48"/>
      <c r="O146" s="48"/>
      <c r="P146" s="48"/>
      <c r="Q146" s="48"/>
      <c r="R146" s="48"/>
      <c r="S146" s="48"/>
      <c r="T146" s="48"/>
      <c r="U146" s="48"/>
      <c r="V146" s="48"/>
    </row>
    <row r="147" spans="1:22">
      <c r="A147" s="48"/>
      <c r="B147" s="48"/>
      <c r="C147" s="48"/>
      <c r="D147" s="48"/>
      <c r="E147" s="48"/>
      <c r="F147" s="48"/>
      <c r="G147" s="48"/>
      <c r="H147" s="48"/>
      <c r="I147" s="48"/>
      <c r="J147" s="48"/>
      <c r="K147" s="48"/>
      <c r="L147" s="48"/>
      <c r="M147" s="48"/>
      <c r="N147" s="48"/>
      <c r="O147" s="48"/>
      <c r="P147" s="48"/>
      <c r="Q147" s="48"/>
      <c r="R147" s="48"/>
      <c r="S147" s="48"/>
      <c r="T147" s="48"/>
      <c r="U147" s="48"/>
      <c r="V147" s="48"/>
    </row>
    <row r="148" spans="1:22">
      <c r="A148" s="48"/>
      <c r="B148" s="48"/>
      <c r="C148" s="48"/>
      <c r="D148" s="48"/>
      <c r="E148" s="48"/>
      <c r="F148" s="48"/>
      <c r="G148" s="48"/>
      <c r="H148" s="48"/>
      <c r="I148" s="48"/>
      <c r="J148" s="48"/>
      <c r="K148" s="48"/>
      <c r="L148" s="48"/>
      <c r="M148" s="48"/>
      <c r="N148" s="48"/>
      <c r="O148" s="48"/>
      <c r="P148" s="48"/>
      <c r="Q148" s="48"/>
      <c r="R148" s="48"/>
      <c r="S148" s="48"/>
      <c r="T148" s="48"/>
      <c r="U148" s="48"/>
      <c r="V148" s="48"/>
    </row>
    <row r="149" spans="1:22">
      <c r="A149" s="48"/>
      <c r="B149" s="48"/>
      <c r="C149" s="48"/>
      <c r="D149" s="48"/>
      <c r="E149" s="48"/>
      <c r="F149" s="48"/>
      <c r="G149" s="48"/>
      <c r="H149" s="48"/>
      <c r="I149" s="48"/>
      <c r="J149" s="48"/>
      <c r="K149" s="48"/>
      <c r="L149" s="48"/>
      <c r="M149" s="48"/>
      <c r="N149" s="48"/>
      <c r="O149" s="48"/>
      <c r="P149" s="48"/>
      <c r="Q149" s="48"/>
      <c r="R149" s="48"/>
      <c r="S149" s="48"/>
      <c r="T149" s="48"/>
      <c r="U149" s="48"/>
      <c r="V149" s="48"/>
    </row>
    <row r="150" spans="1:22">
      <c r="A150" s="48"/>
      <c r="B150" s="48"/>
      <c r="C150" s="48"/>
      <c r="D150" s="48"/>
      <c r="E150" s="48"/>
      <c r="F150" s="48"/>
      <c r="G150" s="48"/>
      <c r="H150" s="48"/>
      <c r="I150" s="48"/>
      <c r="J150" s="48"/>
      <c r="K150" s="48"/>
      <c r="L150" s="48"/>
      <c r="M150" s="48"/>
      <c r="N150" s="48"/>
      <c r="O150" s="48"/>
      <c r="P150" s="48"/>
      <c r="Q150" s="48"/>
      <c r="R150" s="48"/>
      <c r="S150" s="48"/>
      <c r="T150" s="48"/>
      <c r="U150" s="48"/>
      <c r="V150" s="48"/>
    </row>
    <row r="151" spans="1:22">
      <c r="A151" s="48"/>
      <c r="B151" s="48"/>
      <c r="C151" s="48"/>
      <c r="D151" s="48"/>
      <c r="E151" s="48"/>
      <c r="F151" s="48"/>
      <c r="G151" s="48"/>
      <c r="H151" s="48"/>
      <c r="I151" s="48"/>
      <c r="J151" s="48"/>
      <c r="K151" s="48"/>
      <c r="L151" s="48"/>
      <c r="M151" s="48"/>
      <c r="N151" s="48"/>
      <c r="O151" s="48"/>
      <c r="P151" s="48"/>
      <c r="Q151" s="48"/>
      <c r="R151" s="48"/>
      <c r="S151" s="48"/>
      <c r="T151" s="48"/>
      <c r="U151" s="48"/>
      <c r="V151" s="48"/>
    </row>
    <row r="152" spans="1:22">
      <c r="A152" s="48"/>
      <c r="B152" s="48"/>
      <c r="C152" s="48"/>
      <c r="D152" s="48"/>
      <c r="E152" s="48"/>
      <c r="F152" s="48"/>
      <c r="G152" s="48"/>
      <c r="H152" s="48"/>
      <c r="I152" s="48"/>
      <c r="J152" s="48"/>
      <c r="K152" s="48"/>
      <c r="L152" s="48"/>
      <c r="M152" s="48"/>
      <c r="N152" s="48"/>
      <c r="O152" s="48"/>
      <c r="P152" s="48"/>
      <c r="Q152" s="48"/>
      <c r="R152" s="48"/>
      <c r="S152" s="48"/>
      <c r="T152" s="48"/>
      <c r="U152" s="48"/>
      <c r="V152" s="48"/>
    </row>
    <row r="153" spans="1:22">
      <c r="A153" s="48"/>
      <c r="B153" s="48"/>
      <c r="C153" s="48"/>
      <c r="D153" s="48"/>
      <c r="E153" s="48"/>
      <c r="F153" s="48"/>
      <c r="G153" s="48"/>
      <c r="H153" s="48"/>
      <c r="I153" s="48"/>
      <c r="J153" s="48"/>
      <c r="K153" s="48"/>
      <c r="L153" s="48"/>
      <c r="M153" s="48"/>
      <c r="N153" s="48"/>
      <c r="O153" s="48"/>
      <c r="P153" s="48"/>
      <c r="Q153" s="48"/>
      <c r="R153" s="48"/>
      <c r="S153" s="48"/>
      <c r="T153" s="48"/>
      <c r="U153" s="48"/>
      <c r="V153" s="48"/>
    </row>
    <row r="154" spans="1:22">
      <c r="A154" s="48"/>
      <c r="B154" s="48"/>
      <c r="C154" s="48"/>
      <c r="D154" s="48"/>
      <c r="E154" s="48"/>
      <c r="F154" s="48"/>
      <c r="G154" s="48"/>
      <c r="H154" s="48"/>
      <c r="I154" s="48"/>
      <c r="J154" s="48"/>
      <c r="K154" s="48"/>
      <c r="L154" s="48"/>
      <c r="M154" s="48"/>
      <c r="N154" s="48"/>
      <c r="O154" s="48"/>
      <c r="P154" s="48"/>
      <c r="Q154" s="48"/>
      <c r="R154" s="48"/>
      <c r="S154" s="48"/>
      <c r="T154" s="48"/>
      <c r="U154" s="48"/>
      <c r="V154" s="48"/>
    </row>
    <row r="155" spans="1:22">
      <c r="A155" s="48"/>
      <c r="B155" s="48"/>
      <c r="C155" s="48"/>
      <c r="D155" s="48"/>
      <c r="E155" s="48"/>
      <c r="F155" s="48"/>
      <c r="G155" s="48"/>
      <c r="H155" s="48"/>
      <c r="I155" s="48"/>
      <c r="J155" s="48"/>
      <c r="K155" s="48"/>
      <c r="L155" s="48"/>
      <c r="M155" s="48"/>
      <c r="N155" s="48"/>
      <c r="O155" s="48"/>
      <c r="P155" s="48"/>
      <c r="Q155" s="48"/>
      <c r="R155" s="48"/>
      <c r="S155" s="48"/>
      <c r="T155" s="48"/>
      <c r="U155" s="48"/>
      <c r="V155" s="48"/>
    </row>
    <row r="156" spans="1:22">
      <c r="A156" s="48"/>
      <c r="B156" s="48"/>
      <c r="C156" s="48"/>
      <c r="D156" s="48"/>
      <c r="E156" s="48"/>
      <c r="F156" s="48"/>
      <c r="G156" s="48"/>
      <c r="H156" s="48"/>
      <c r="I156" s="48"/>
      <c r="J156" s="48"/>
      <c r="K156" s="48"/>
      <c r="L156" s="48"/>
      <c r="M156" s="48"/>
      <c r="N156" s="48"/>
      <c r="O156" s="48"/>
      <c r="P156" s="48"/>
      <c r="Q156" s="48"/>
      <c r="R156" s="48"/>
      <c r="S156" s="48"/>
      <c r="T156" s="48"/>
      <c r="U156" s="48"/>
      <c r="V156" s="48"/>
    </row>
    <row r="157" spans="1:22">
      <c r="A157" s="48"/>
      <c r="B157" s="48"/>
      <c r="C157" s="48"/>
      <c r="D157" s="48"/>
      <c r="E157" s="48"/>
      <c r="F157" s="48"/>
      <c r="G157" s="48"/>
      <c r="H157" s="48"/>
      <c r="I157" s="48"/>
      <c r="J157" s="48"/>
      <c r="K157" s="48"/>
      <c r="L157" s="48"/>
      <c r="M157" s="48"/>
      <c r="N157" s="48"/>
      <c r="O157" s="48"/>
      <c r="P157" s="48"/>
      <c r="Q157" s="48"/>
      <c r="R157" s="48"/>
      <c r="S157" s="48"/>
      <c r="T157" s="48"/>
      <c r="U157" s="48"/>
      <c r="V157" s="48"/>
    </row>
    <row r="158" spans="1:22">
      <c r="A158" s="48"/>
      <c r="B158" s="48"/>
      <c r="C158" s="48"/>
      <c r="D158" s="48"/>
      <c r="E158" s="48"/>
      <c r="F158" s="48"/>
      <c r="G158" s="48"/>
      <c r="H158" s="48"/>
      <c r="I158" s="48"/>
      <c r="J158" s="48"/>
      <c r="K158" s="48"/>
      <c r="L158" s="48"/>
      <c r="M158" s="48"/>
      <c r="N158" s="48"/>
      <c r="O158" s="48"/>
      <c r="P158" s="48"/>
      <c r="Q158" s="48"/>
      <c r="R158" s="48"/>
      <c r="S158" s="48"/>
      <c r="T158" s="48"/>
      <c r="U158" s="48"/>
      <c r="V158" s="48"/>
    </row>
    <row r="159" spans="1:22">
      <c r="A159" s="48"/>
      <c r="B159" s="48"/>
      <c r="C159" s="48"/>
      <c r="D159" s="48"/>
      <c r="E159" s="48"/>
      <c r="F159" s="48"/>
      <c r="G159" s="48"/>
      <c r="H159" s="48"/>
      <c r="I159" s="48"/>
      <c r="J159" s="48"/>
      <c r="K159" s="48"/>
      <c r="L159" s="48"/>
      <c r="M159" s="48"/>
      <c r="N159" s="48"/>
      <c r="O159" s="48"/>
      <c r="P159" s="48"/>
      <c r="Q159" s="48"/>
      <c r="R159" s="48"/>
      <c r="S159" s="48"/>
      <c r="T159" s="48"/>
      <c r="U159" s="48"/>
      <c r="V159" s="48"/>
    </row>
    <row r="160" spans="1:22">
      <c r="A160" s="48"/>
      <c r="B160" s="48"/>
      <c r="C160" s="48"/>
      <c r="D160" s="48"/>
      <c r="E160" s="48"/>
      <c r="F160" s="48"/>
      <c r="G160" s="48"/>
      <c r="H160" s="48"/>
      <c r="I160" s="48"/>
      <c r="J160" s="48"/>
      <c r="K160" s="48"/>
      <c r="L160" s="48"/>
      <c r="M160" s="48"/>
      <c r="N160" s="48"/>
      <c r="O160" s="48"/>
      <c r="P160" s="48"/>
      <c r="Q160" s="48"/>
      <c r="R160" s="48"/>
      <c r="S160" s="48"/>
      <c r="T160" s="48"/>
      <c r="U160" s="48"/>
      <c r="V160" s="48"/>
    </row>
    <row r="161" spans="1:22">
      <c r="A161" s="48"/>
      <c r="B161" s="48"/>
      <c r="C161" s="48"/>
      <c r="D161" s="48"/>
      <c r="E161" s="48"/>
      <c r="F161" s="48"/>
      <c r="G161" s="48"/>
      <c r="H161" s="48"/>
      <c r="I161" s="48"/>
      <c r="J161" s="48"/>
      <c r="K161" s="48"/>
      <c r="L161" s="48"/>
      <c r="M161" s="48"/>
      <c r="N161" s="48"/>
      <c r="O161" s="48"/>
      <c r="P161" s="48"/>
      <c r="Q161" s="48"/>
      <c r="R161" s="48"/>
      <c r="S161" s="48"/>
      <c r="T161" s="48"/>
      <c r="U161" s="48"/>
      <c r="V161" s="48"/>
    </row>
    <row r="162" spans="1:22">
      <c r="A162" s="48"/>
      <c r="B162" s="48"/>
      <c r="C162" s="48"/>
      <c r="D162" s="48"/>
      <c r="E162" s="48"/>
      <c r="F162" s="48"/>
      <c r="G162" s="48"/>
      <c r="H162" s="48"/>
      <c r="I162" s="48"/>
      <c r="J162" s="48"/>
      <c r="K162" s="48"/>
      <c r="L162" s="48"/>
      <c r="M162" s="48"/>
      <c r="N162" s="48"/>
      <c r="O162" s="48"/>
      <c r="P162" s="48"/>
      <c r="Q162" s="48"/>
      <c r="R162" s="48"/>
      <c r="S162" s="48"/>
      <c r="T162" s="48"/>
      <c r="U162" s="48"/>
      <c r="V162" s="48"/>
    </row>
    <row r="163" spans="1:22">
      <c r="A163" s="48"/>
      <c r="B163" s="48"/>
      <c r="C163" s="48"/>
      <c r="D163" s="48"/>
      <c r="E163" s="48"/>
      <c r="F163" s="48"/>
      <c r="G163" s="48"/>
      <c r="H163" s="48"/>
      <c r="I163" s="48"/>
      <c r="J163" s="48"/>
      <c r="K163" s="48"/>
      <c r="L163" s="48"/>
      <c r="M163" s="48"/>
      <c r="N163" s="48"/>
      <c r="O163" s="48"/>
      <c r="P163" s="48"/>
      <c r="Q163" s="48"/>
      <c r="R163" s="48"/>
      <c r="S163" s="48"/>
      <c r="T163" s="48"/>
      <c r="U163" s="48"/>
      <c r="V163" s="48"/>
    </row>
    <row r="164" spans="1:22">
      <c r="A164" s="48"/>
      <c r="B164" s="48"/>
      <c r="C164" s="48"/>
      <c r="D164" s="48"/>
      <c r="E164" s="48"/>
      <c r="F164" s="48"/>
      <c r="G164" s="48"/>
      <c r="H164" s="48"/>
      <c r="I164" s="48"/>
      <c r="J164" s="48"/>
      <c r="K164" s="48"/>
      <c r="L164" s="48"/>
      <c r="M164" s="48"/>
      <c r="N164" s="48"/>
      <c r="O164" s="48"/>
      <c r="P164" s="48"/>
      <c r="Q164" s="48"/>
      <c r="R164" s="48"/>
      <c r="S164" s="48"/>
      <c r="T164" s="48"/>
      <c r="U164" s="48"/>
      <c r="V164" s="48"/>
    </row>
    <row r="165" spans="1:22">
      <c r="A165" s="48"/>
      <c r="B165" s="48"/>
      <c r="C165" s="48"/>
      <c r="D165" s="48"/>
      <c r="E165" s="48"/>
      <c r="F165" s="48"/>
      <c r="G165" s="48"/>
      <c r="H165" s="48"/>
      <c r="I165" s="48"/>
      <c r="J165" s="48"/>
      <c r="K165" s="48"/>
      <c r="L165" s="48"/>
      <c r="M165" s="48"/>
      <c r="N165" s="48"/>
      <c r="O165" s="48"/>
      <c r="P165" s="48"/>
      <c r="Q165" s="48"/>
      <c r="R165" s="48"/>
      <c r="S165" s="48"/>
      <c r="T165" s="48"/>
      <c r="U165" s="48"/>
      <c r="V165" s="48"/>
    </row>
    <row r="166" spans="1:22">
      <c r="A166" s="48"/>
      <c r="B166" s="48"/>
      <c r="C166" s="48"/>
      <c r="D166" s="48"/>
      <c r="E166" s="48"/>
      <c r="F166" s="48"/>
      <c r="G166" s="48"/>
      <c r="H166" s="48"/>
      <c r="I166" s="48"/>
      <c r="J166" s="48"/>
      <c r="K166" s="48"/>
      <c r="L166" s="48"/>
      <c r="M166" s="48"/>
      <c r="N166" s="48"/>
      <c r="O166" s="48"/>
      <c r="P166" s="48"/>
      <c r="Q166" s="48"/>
      <c r="R166" s="48"/>
      <c r="S166" s="48"/>
      <c r="T166" s="48"/>
      <c r="U166" s="48"/>
      <c r="V166" s="48"/>
    </row>
    <row r="167" spans="1:22">
      <c r="A167" s="48"/>
      <c r="B167" s="48"/>
      <c r="C167" s="48"/>
      <c r="D167" s="48"/>
      <c r="E167" s="48"/>
      <c r="F167" s="48"/>
      <c r="G167" s="48"/>
      <c r="H167" s="48"/>
      <c r="I167" s="48"/>
      <c r="J167" s="48"/>
      <c r="K167" s="48"/>
      <c r="L167" s="48"/>
      <c r="M167" s="48"/>
      <c r="N167" s="48"/>
      <c r="O167" s="48"/>
      <c r="P167" s="48"/>
      <c r="Q167" s="48"/>
      <c r="R167" s="48"/>
      <c r="S167" s="48"/>
      <c r="T167" s="48"/>
      <c r="U167" s="48"/>
      <c r="V167" s="48"/>
    </row>
    <row r="168" spans="1:22">
      <c r="A168" s="48"/>
      <c r="B168" s="48"/>
      <c r="C168" s="48"/>
      <c r="D168" s="48"/>
      <c r="E168" s="48"/>
      <c r="F168" s="48"/>
      <c r="G168" s="48"/>
      <c r="H168" s="48"/>
      <c r="I168" s="48"/>
      <c r="J168" s="48"/>
      <c r="K168" s="48"/>
      <c r="L168" s="48"/>
      <c r="M168" s="48"/>
      <c r="N168" s="48"/>
      <c r="O168" s="48"/>
      <c r="P168" s="48"/>
      <c r="Q168" s="48"/>
      <c r="R168" s="48"/>
      <c r="S168" s="48"/>
      <c r="T168" s="48"/>
      <c r="U168" s="48"/>
      <c r="V168" s="48"/>
    </row>
    <row r="169" spans="1:22">
      <c r="A169" s="48"/>
      <c r="B169" s="48"/>
      <c r="C169" s="48"/>
      <c r="D169" s="48"/>
      <c r="E169" s="48"/>
      <c r="F169" s="48"/>
      <c r="G169" s="48"/>
      <c r="H169" s="48"/>
      <c r="I169" s="48"/>
      <c r="J169" s="48"/>
      <c r="K169" s="48"/>
      <c r="L169" s="48"/>
      <c r="M169" s="48"/>
      <c r="N169" s="48"/>
      <c r="O169" s="48"/>
      <c r="P169" s="48"/>
      <c r="Q169" s="48"/>
      <c r="R169" s="48"/>
      <c r="S169" s="48"/>
      <c r="T169" s="48"/>
      <c r="U169" s="48"/>
      <c r="V169" s="48"/>
    </row>
    <row r="170" spans="1:22">
      <c r="A170" s="48"/>
      <c r="B170" s="48"/>
      <c r="C170" s="48"/>
      <c r="D170" s="48"/>
      <c r="E170" s="48"/>
      <c r="F170" s="48"/>
      <c r="G170" s="48"/>
      <c r="H170" s="48"/>
      <c r="I170" s="48"/>
      <c r="J170" s="48"/>
      <c r="K170" s="48"/>
      <c r="L170" s="48"/>
      <c r="M170" s="48"/>
      <c r="N170" s="48"/>
      <c r="O170" s="48"/>
      <c r="P170" s="48"/>
      <c r="Q170" s="48"/>
      <c r="R170" s="48"/>
      <c r="S170" s="48"/>
      <c r="T170" s="48"/>
      <c r="U170" s="48"/>
      <c r="V170" s="48"/>
    </row>
    <row r="171" spans="1:22">
      <c r="A171" s="48"/>
      <c r="B171" s="48"/>
      <c r="C171" s="48"/>
      <c r="D171" s="48"/>
      <c r="E171" s="48"/>
      <c r="F171" s="48"/>
      <c r="G171" s="48"/>
      <c r="H171" s="48"/>
      <c r="I171" s="48"/>
      <c r="J171" s="48"/>
      <c r="K171" s="48"/>
      <c r="L171" s="48"/>
      <c r="M171" s="48"/>
      <c r="N171" s="48"/>
      <c r="O171" s="48"/>
      <c r="P171" s="48"/>
      <c r="Q171" s="48"/>
      <c r="R171" s="48"/>
      <c r="S171" s="48"/>
      <c r="T171" s="48"/>
      <c r="U171" s="48"/>
      <c r="V171" s="48"/>
    </row>
    <row r="172" spans="1:22">
      <c r="A172" s="48"/>
      <c r="B172" s="48"/>
      <c r="C172" s="48"/>
      <c r="D172" s="48"/>
      <c r="E172" s="48"/>
      <c r="F172" s="48"/>
      <c r="G172" s="48"/>
      <c r="H172" s="48"/>
      <c r="I172" s="48"/>
      <c r="J172" s="48"/>
      <c r="K172" s="48"/>
      <c r="L172" s="48"/>
      <c r="M172" s="48"/>
      <c r="N172" s="48"/>
      <c r="O172" s="48"/>
      <c r="P172" s="48"/>
      <c r="Q172" s="48"/>
      <c r="R172" s="48"/>
      <c r="S172" s="48"/>
      <c r="T172" s="48"/>
      <c r="U172" s="48"/>
      <c r="V172" s="48"/>
    </row>
    <row r="173" spans="1:22">
      <c r="A173" s="48"/>
      <c r="B173" s="48"/>
      <c r="C173" s="48"/>
      <c r="D173" s="48"/>
      <c r="E173" s="48"/>
      <c r="F173" s="48"/>
      <c r="G173" s="48"/>
      <c r="H173" s="48"/>
      <c r="I173" s="48"/>
      <c r="J173" s="48"/>
      <c r="K173" s="48"/>
      <c r="L173" s="48"/>
      <c r="M173" s="48"/>
      <c r="N173" s="48"/>
      <c r="O173" s="48"/>
      <c r="P173" s="48"/>
      <c r="Q173" s="48"/>
      <c r="R173" s="48"/>
      <c r="S173" s="48"/>
      <c r="T173" s="48"/>
      <c r="U173" s="48"/>
      <c r="V173" s="48"/>
    </row>
    <row r="174" spans="1:22">
      <c r="A174" s="48"/>
      <c r="B174" s="48"/>
      <c r="C174" s="48"/>
      <c r="D174" s="48"/>
      <c r="E174" s="48"/>
      <c r="F174" s="48"/>
      <c r="G174" s="48"/>
      <c r="H174" s="48"/>
      <c r="I174" s="48"/>
      <c r="J174" s="48"/>
      <c r="K174" s="48"/>
      <c r="L174" s="48"/>
      <c r="M174" s="48"/>
      <c r="N174" s="48"/>
      <c r="O174" s="48"/>
      <c r="P174" s="48"/>
      <c r="Q174" s="48"/>
      <c r="R174" s="48"/>
      <c r="S174" s="48"/>
      <c r="T174" s="48"/>
      <c r="U174" s="48"/>
      <c r="V174" s="48"/>
    </row>
    <row r="175" spans="1:22">
      <c r="A175" s="48"/>
      <c r="B175" s="48"/>
      <c r="C175" s="48"/>
      <c r="D175" s="48"/>
      <c r="E175" s="48"/>
      <c r="F175" s="48"/>
      <c r="G175" s="48"/>
      <c r="H175" s="48"/>
      <c r="I175" s="48"/>
      <c r="J175" s="48"/>
      <c r="K175" s="48"/>
      <c r="L175" s="48"/>
      <c r="M175" s="48"/>
      <c r="N175" s="48"/>
      <c r="O175" s="48"/>
      <c r="P175" s="48"/>
      <c r="Q175" s="48"/>
      <c r="R175" s="48"/>
      <c r="S175" s="48"/>
      <c r="T175" s="48"/>
      <c r="U175" s="48"/>
      <c r="V175" s="48"/>
    </row>
    <row r="176" spans="1:22">
      <c r="A176" s="48"/>
      <c r="B176" s="48"/>
      <c r="C176" s="48"/>
      <c r="D176" s="48"/>
      <c r="E176" s="48"/>
      <c r="F176" s="48"/>
      <c r="G176" s="48"/>
      <c r="H176" s="48"/>
      <c r="I176" s="48"/>
      <c r="J176" s="48"/>
      <c r="K176" s="48"/>
      <c r="L176" s="48"/>
      <c r="M176" s="48"/>
      <c r="N176" s="48"/>
      <c r="O176" s="48"/>
      <c r="P176" s="48"/>
      <c r="Q176" s="48"/>
      <c r="R176" s="48"/>
      <c r="S176" s="48"/>
      <c r="T176" s="48"/>
      <c r="U176" s="48"/>
      <c r="V176" s="48"/>
    </row>
    <row r="177" spans="1:22">
      <c r="A177" s="48"/>
      <c r="B177" s="48"/>
      <c r="C177" s="48"/>
      <c r="D177" s="48"/>
      <c r="E177" s="48"/>
      <c r="F177" s="48"/>
      <c r="G177" s="48"/>
      <c r="H177" s="48"/>
      <c r="I177" s="48"/>
      <c r="J177" s="48"/>
      <c r="K177" s="48"/>
      <c r="L177" s="48"/>
      <c r="M177" s="48"/>
      <c r="N177" s="48"/>
      <c r="O177" s="48"/>
      <c r="P177" s="48"/>
      <c r="Q177" s="48"/>
      <c r="R177" s="48"/>
      <c r="S177" s="48"/>
      <c r="T177" s="48"/>
      <c r="U177" s="48"/>
      <c r="V177" s="48"/>
    </row>
    <row r="178" spans="1:22">
      <c r="A178" s="48"/>
      <c r="B178" s="48"/>
      <c r="C178" s="48"/>
      <c r="D178" s="48"/>
      <c r="E178" s="48"/>
      <c r="F178" s="48"/>
      <c r="G178" s="48"/>
      <c r="H178" s="48"/>
      <c r="I178" s="48"/>
      <c r="J178" s="48"/>
      <c r="K178" s="48"/>
      <c r="L178" s="48"/>
      <c r="M178" s="48"/>
      <c r="N178" s="48"/>
      <c r="O178" s="48"/>
      <c r="P178" s="48"/>
      <c r="Q178" s="48"/>
      <c r="R178" s="48"/>
      <c r="S178" s="48"/>
      <c r="T178" s="48"/>
      <c r="U178" s="48"/>
      <c r="V178" s="48"/>
    </row>
    <row r="179" spans="1:22">
      <c r="A179" s="48"/>
      <c r="B179" s="48"/>
      <c r="C179" s="48"/>
      <c r="D179" s="48"/>
      <c r="E179" s="48"/>
      <c r="F179" s="48"/>
      <c r="G179" s="48"/>
      <c r="H179" s="48"/>
      <c r="I179" s="48"/>
      <c r="J179" s="48"/>
      <c r="K179" s="48"/>
      <c r="L179" s="48"/>
      <c r="M179" s="48"/>
      <c r="N179" s="48"/>
      <c r="O179" s="48"/>
      <c r="P179" s="48"/>
      <c r="Q179" s="48"/>
      <c r="R179" s="48"/>
      <c r="S179" s="48"/>
      <c r="T179" s="48"/>
      <c r="U179" s="48"/>
      <c r="V179" s="48"/>
    </row>
    <row r="180" spans="1:22">
      <c r="A180" s="48"/>
      <c r="B180" s="48"/>
      <c r="C180" s="48"/>
      <c r="D180" s="48"/>
      <c r="E180" s="48"/>
      <c r="F180" s="48"/>
      <c r="G180" s="48"/>
      <c r="H180" s="48"/>
      <c r="I180" s="48"/>
      <c r="J180" s="48"/>
      <c r="K180" s="48"/>
      <c r="L180" s="48"/>
      <c r="M180" s="48"/>
      <c r="N180" s="48"/>
      <c r="O180" s="48"/>
      <c r="P180" s="48"/>
      <c r="Q180" s="48"/>
      <c r="R180" s="48"/>
      <c r="S180" s="48"/>
      <c r="T180" s="48"/>
      <c r="U180" s="48"/>
      <c r="V180" s="48"/>
    </row>
    <row r="181" spans="1:22">
      <c r="A181" s="48"/>
      <c r="B181" s="48"/>
      <c r="C181" s="48"/>
      <c r="D181" s="48"/>
      <c r="E181" s="48"/>
      <c r="F181" s="48"/>
      <c r="G181" s="48"/>
      <c r="H181" s="48"/>
      <c r="I181" s="48"/>
      <c r="J181" s="48"/>
      <c r="K181" s="48"/>
      <c r="L181" s="48"/>
      <c r="M181" s="48"/>
      <c r="N181" s="48"/>
      <c r="O181" s="48"/>
      <c r="P181" s="48"/>
      <c r="Q181" s="48"/>
      <c r="R181" s="48"/>
      <c r="S181" s="48"/>
      <c r="T181" s="48"/>
      <c r="U181" s="48"/>
      <c r="V181" s="48"/>
    </row>
    <row r="182" spans="1:22">
      <c r="A182" s="48"/>
      <c r="B182" s="48"/>
      <c r="C182" s="48"/>
      <c r="D182" s="48"/>
      <c r="E182" s="48"/>
      <c r="F182" s="48"/>
      <c r="G182" s="48"/>
      <c r="H182" s="48"/>
      <c r="I182" s="48"/>
      <c r="J182" s="48"/>
      <c r="K182" s="48"/>
      <c r="L182" s="48"/>
      <c r="M182" s="48"/>
      <c r="N182" s="48"/>
      <c r="O182" s="48"/>
      <c r="P182" s="48"/>
      <c r="Q182" s="48"/>
      <c r="R182" s="48"/>
      <c r="S182" s="48"/>
      <c r="T182" s="48"/>
      <c r="U182" s="48"/>
      <c r="V182" s="48"/>
    </row>
    <row r="183" spans="1:22">
      <c r="A183" s="48"/>
      <c r="B183" s="48"/>
      <c r="C183" s="48"/>
      <c r="D183" s="48"/>
      <c r="E183" s="48"/>
      <c r="F183" s="48"/>
      <c r="G183" s="48"/>
      <c r="H183" s="48"/>
      <c r="I183" s="48"/>
      <c r="J183" s="48"/>
      <c r="K183" s="48"/>
      <c r="L183" s="48"/>
      <c r="M183" s="48"/>
      <c r="N183" s="48"/>
      <c r="O183" s="48"/>
      <c r="P183" s="48"/>
      <c r="Q183" s="48"/>
      <c r="R183" s="48"/>
      <c r="S183" s="48"/>
      <c r="T183" s="48"/>
      <c r="U183" s="48"/>
      <c r="V183" s="48"/>
    </row>
    <row r="184" spans="1:22">
      <c r="A184" s="48"/>
      <c r="B184" s="48"/>
      <c r="C184" s="48"/>
      <c r="D184" s="48"/>
      <c r="E184" s="48"/>
      <c r="F184" s="48"/>
      <c r="G184" s="48"/>
      <c r="H184" s="48"/>
      <c r="I184" s="48"/>
      <c r="J184" s="48"/>
      <c r="K184" s="48"/>
      <c r="L184" s="48"/>
      <c r="M184" s="48"/>
      <c r="N184" s="48"/>
      <c r="O184" s="48"/>
      <c r="P184" s="48"/>
      <c r="Q184" s="48"/>
      <c r="R184" s="48"/>
      <c r="S184" s="48"/>
      <c r="T184" s="48"/>
      <c r="U184" s="48"/>
      <c r="V184" s="48"/>
    </row>
    <row r="185" spans="1:22">
      <c r="A185" s="48"/>
      <c r="B185" s="48"/>
      <c r="C185" s="48"/>
      <c r="D185" s="48"/>
      <c r="E185" s="48"/>
      <c r="F185" s="48"/>
      <c r="G185" s="48"/>
      <c r="H185" s="48"/>
      <c r="I185" s="48"/>
      <c r="J185" s="48"/>
      <c r="K185" s="48"/>
      <c r="L185" s="48"/>
      <c r="M185" s="48"/>
      <c r="N185" s="48"/>
      <c r="O185" s="48"/>
      <c r="P185" s="48"/>
      <c r="Q185" s="48"/>
      <c r="R185" s="48"/>
      <c r="S185" s="48"/>
      <c r="T185" s="48"/>
      <c r="U185" s="48"/>
      <c r="V185" s="48"/>
    </row>
    <row r="186" spans="1:22">
      <c r="A186" s="48"/>
      <c r="B186" s="48"/>
      <c r="C186" s="48"/>
      <c r="D186" s="48"/>
      <c r="E186" s="48"/>
      <c r="F186" s="48"/>
      <c r="G186" s="48"/>
      <c r="H186" s="48"/>
      <c r="I186" s="48"/>
      <c r="J186" s="48"/>
      <c r="K186" s="48"/>
      <c r="L186" s="48"/>
      <c r="M186" s="48"/>
      <c r="N186" s="48"/>
      <c r="O186" s="48"/>
      <c r="P186" s="48"/>
      <c r="Q186" s="48"/>
      <c r="R186" s="48"/>
      <c r="S186" s="48"/>
      <c r="T186" s="48"/>
      <c r="U186" s="48"/>
      <c r="V186" s="48"/>
    </row>
    <row r="187" spans="1:22">
      <c r="A187" s="48"/>
      <c r="B187" s="48"/>
      <c r="C187" s="48"/>
      <c r="D187" s="48"/>
      <c r="E187" s="48"/>
      <c r="F187" s="48"/>
      <c r="G187" s="48"/>
      <c r="H187" s="48"/>
      <c r="I187" s="48"/>
      <c r="J187" s="48"/>
      <c r="K187" s="48"/>
      <c r="L187" s="48"/>
      <c r="M187" s="48"/>
      <c r="N187" s="48"/>
      <c r="O187" s="48"/>
      <c r="P187" s="48"/>
      <c r="Q187" s="48"/>
      <c r="R187" s="48"/>
      <c r="S187" s="48"/>
      <c r="T187" s="48"/>
      <c r="U187" s="48"/>
      <c r="V187" s="48"/>
    </row>
    <row r="188" spans="1:22">
      <c r="A188" s="48"/>
      <c r="B188" s="48"/>
      <c r="C188" s="48"/>
      <c r="D188" s="48"/>
      <c r="E188" s="48"/>
      <c r="F188" s="48"/>
      <c r="G188" s="48"/>
      <c r="H188" s="48"/>
      <c r="I188" s="48"/>
      <c r="J188" s="48"/>
      <c r="K188" s="48"/>
      <c r="L188" s="48"/>
      <c r="M188" s="48"/>
      <c r="N188" s="48"/>
      <c r="O188" s="48"/>
      <c r="P188" s="48"/>
      <c r="Q188" s="48"/>
      <c r="R188" s="48"/>
      <c r="S188" s="48"/>
      <c r="T188" s="48"/>
      <c r="U188" s="48"/>
      <c r="V188" s="48"/>
    </row>
    <row r="189" spans="1:22">
      <c r="A189" s="48"/>
      <c r="B189" s="48"/>
      <c r="C189" s="48"/>
      <c r="D189" s="48"/>
      <c r="E189" s="48"/>
      <c r="F189" s="48"/>
      <c r="G189" s="48"/>
      <c r="H189" s="48"/>
      <c r="I189" s="48"/>
      <c r="J189" s="48"/>
      <c r="K189" s="48"/>
      <c r="L189" s="48"/>
      <c r="M189" s="48"/>
      <c r="N189" s="48"/>
      <c r="O189" s="48"/>
      <c r="P189" s="48"/>
      <c r="Q189" s="48"/>
      <c r="R189" s="48"/>
      <c r="S189" s="48"/>
      <c r="T189" s="48"/>
      <c r="U189" s="48"/>
      <c r="V189" s="48"/>
    </row>
    <row r="190" spans="1:22">
      <c r="A190" s="48"/>
      <c r="B190" s="48"/>
      <c r="C190" s="48"/>
      <c r="D190" s="48"/>
      <c r="E190" s="48"/>
      <c r="F190" s="48"/>
      <c r="G190" s="48"/>
      <c r="H190" s="48"/>
      <c r="I190" s="48"/>
      <c r="J190" s="48"/>
      <c r="K190" s="48"/>
      <c r="L190" s="48"/>
      <c r="M190" s="48"/>
      <c r="N190" s="48"/>
      <c r="O190" s="48"/>
      <c r="P190" s="48"/>
      <c r="Q190" s="48"/>
      <c r="R190" s="48"/>
      <c r="S190" s="48"/>
      <c r="T190" s="48"/>
      <c r="U190" s="48"/>
      <c r="V190" s="48"/>
    </row>
    <row r="191" spans="1:22">
      <c r="A191" s="48"/>
      <c r="B191" s="48"/>
      <c r="C191" s="48"/>
      <c r="D191" s="48"/>
      <c r="E191" s="48"/>
      <c r="F191" s="48"/>
      <c r="G191" s="48"/>
      <c r="H191" s="48"/>
      <c r="I191" s="48"/>
      <c r="J191" s="48"/>
      <c r="K191" s="48"/>
      <c r="L191" s="48"/>
      <c r="M191" s="48"/>
      <c r="N191" s="48"/>
      <c r="O191" s="48"/>
      <c r="P191" s="48"/>
      <c r="Q191" s="48"/>
      <c r="R191" s="48"/>
      <c r="S191" s="48"/>
      <c r="T191" s="48"/>
      <c r="U191" s="48"/>
      <c r="V191" s="48"/>
    </row>
    <row r="192" spans="1:22">
      <c r="A192" s="48"/>
      <c r="B192" s="48"/>
      <c r="C192" s="48"/>
      <c r="D192" s="48"/>
      <c r="E192" s="48"/>
      <c r="F192" s="48"/>
      <c r="G192" s="48"/>
      <c r="H192" s="48"/>
      <c r="I192" s="48"/>
      <c r="J192" s="48"/>
      <c r="K192" s="48"/>
      <c r="L192" s="48"/>
      <c r="M192" s="48"/>
      <c r="N192" s="48"/>
      <c r="O192" s="48"/>
      <c r="P192" s="48"/>
      <c r="Q192" s="48"/>
      <c r="R192" s="48"/>
      <c r="S192" s="48"/>
      <c r="T192" s="48"/>
      <c r="U192" s="48"/>
      <c r="V192" s="48"/>
    </row>
    <row r="193" spans="1:22">
      <c r="A193" s="48"/>
      <c r="B193" s="48"/>
      <c r="C193" s="48"/>
      <c r="D193" s="48"/>
      <c r="E193" s="48"/>
      <c r="F193" s="48"/>
      <c r="G193" s="48"/>
      <c r="H193" s="48"/>
      <c r="I193" s="48"/>
      <c r="J193" s="48"/>
      <c r="K193" s="48"/>
      <c r="L193" s="48"/>
      <c r="M193" s="48"/>
      <c r="N193" s="48"/>
      <c r="O193" s="48"/>
      <c r="P193" s="48"/>
      <c r="Q193" s="48"/>
      <c r="R193" s="48"/>
      <c r="S193" s="48"/>
      <c r="T193" s="48"/>
      <c r="U193" s="48"/>
      <c r="V193" s="48"/>
    </row>
    <row r="194" spans="1:22">
      <c r="A194" s="48"/>
      <c r="B194" s="48"/>
      <c r="C194" s="48"/>
      <c r="D194" s="48"/>
      <c r="E194" s="48"/>
      <c r="F194" s="48"/>
      <c r="G194" s="48"/>
      <c r="H194" s="48"/>
      <c r="I194" s="48"/>
      <c r="J194" s="48"/>
      <c r="K194" s="48"/>
      <c r="L194" s="48"/>
      <c r="M194" s="48"/>
      <c r="N194" s="48"/>
      <c r="O194" s="48"/>
      <c r="P194" s="48"/>
      <c r="Q194" s="48"/>
      <c r="R194" s="48"/>
      <c r="S194" s="48"/>
      <c r="T194" s="48"/>
      <c r="U194" s="48"/>
      <c r="V194" s="48"/>
    </row>
    <row r="195" spans="1:22">
      <c r="A195" s="48"/>
      <c r="B195" s="48"/>
      <c r="C195" s="48"/>
      <c r="D195" s="48"/>
      <c r="E195" s="48"/>
      <c r="F195" s="48"/>
      <c r="G195" s="48"/>
      <c r="H195" s="48"/>
      <c r="I195" s="48"/>
      <c r="J195" s="48"/>
      <c r="K195" s="48"/>
      <c r="L195" s="48"/>
      <c r="M195" s="48"/>
      <c r="N195" s="48"/>
      <c r="O195" s="48"/>
      <c r="P195" s="48"/>
      <c r="Q195" s="48"/>
      <c r="R195" s="48"/>
      <c r="S195" s="48"/>
      <c r="T195" s="48"/>
      <c r="U195" s="48"/>
      <c r="V195" s="48"/>
    </row>
    <row r="196" spans="1:22">
      <c r="A196" s="48"/>
      <c r="B196" s="48"/>
      <c r="C196" s="48"/>
      <c r="D196" s="48"/>
      <c r="E196" s="48"/>
      <c r="F196" s="48"/>
      <c r="G196" s="48"/>
      <c r="H196" s="48"/>
      <c r="I196" s="48"/>
      <c r="J196" s="48"/>
      <c r="K196" s="48"/>
      <c r="L196" s="48"/>
      <c r="M196" s="48"/>
      <c r="N196" s="48"/>
      <c r="O196" s="48"/>
      <c r="P196" s="48"/>
      <c r="Q196" s="48"/>
      <c r="R196" s="48"/>
      <c r="S196" s="48"/>
      <c r="T196" s="48"/>
      <c r="U196" s="48"/>
      <c r="V196" s="48"/>
    </row>
    <row r="197" spans="1:22">
      <c r="A197" s="48"/>
      <c r="B197" s="48"/>
      <c r="C197" s="48"/>
      <c r="D197" s="48"/>
      <c r="E197" s="48"/>
      <c r="F197" s="48"/>
      <c r="G197" s="48"/>
      <c r="H197" s="48"/>
      <c r="I197" s="48"/>
      <c r="J197" s="48"/>
      <c r="K197" s="48"/>
      <c r="L197" s="48"/>
      <c r="M197" s="48"/>
      <c r="N197" s="48"/>
      <c r="O197" s="48"/>
      <c r="P197" s="48"/>
      <c r="Q197" s="48"/>
      <c r="R197" s="48"/>
      <c r="S197" s="48"/>
      <c r="T197" s="48"/>
      <c r="U197" s="48"/>
      <c r="V197" s="48"/>
    </row>
    <row r="198" spans="1:22">
      <c r="A198" s="48"/>
      <c r="B198" s="48"/>
      <c r="C198" s="48"/>
      <c r="D198" s="48"/>
      <c r="E198" s="48"/>
      <c r="F198" s="48"/>
      <c r="G198" s="48"/>
      <c r="H198" s="48"/>
      <c r="I198" s="48"/>
      <c r="J198" s="48"/>
      <c r="K198" s="48"/>
      <c r="L198" s="48"/>
      <c r="M198" s="48"/>
      <c r="N198" s="48"/>
      <c r="O198" s="48"/>
      <c r="P198" s="48"/>
      <c r="Q198" s="48"/>
      <c r="R198" s="48"/>
      <c r="S198" s="48"/>
      <c r="T198" s="48"/>
      <c r="U198" s="48"/>
      <c r="V198" s="48"/>
    </row>
    <row r="199" spans="1:22">
      <c r="A199" s="48"/>
      <c r="B199" s="48"/>
      <c r="C199" s="48"/>
      <c r="D199" s="48"/>
      <c r="E199" s="48"/>
      <c r="F199" s="48"/>
      <c r="G199" s="48"/>
      <c r="H199" s="48"/>
      <c r="I199" s="48"/>
      <c r="J199" s="48"/>
      <c r="K199" s="48"/>
      <c r="L199" s="48"/>
      <c r="M199" s="48"/>
      <c r="N199" s="48"/>
      <c r="O199" s="48"/>
      <c r="P199" s="48"/>
      <c r="Q199" s="48"/>
      <c r="R199" s="48"/>
      <c r="S199" s="48"/>
      <c r="T199" s="48"/>
      <c r="U199" s="48"/>
      <c r="V199" s="48"/>
    </row>
    <row r="200" spans="1:22">
      <c r="A200" s="48"/>
      <c r="B200" s="48"/>
      <c r="C200" s="48"/>
      <c r="D200" s="48"/>
      <c r="E200" s="48"/>
      <c r="F200" s="48"/>
      <c r="G200" s="48"/>
      <c r="H200" s="48"/>
      <c r="I200" s="48"/>
      <c r="J200" s="48"/>
      <c r="K200" s="48"/>
      <c r="L200" s="48"/>
      <c r="M200" s="48"/>
      <c r="N200" s="48"/>
      <c r="O200" s="48"/>
      <c r="P200" s="48"/>
      <c r="Q200" s="48"/>
      <c r="R200" s="48"/>
      <c r="S200" s="48"/>
      <c r="T200" s="48"/>
      <c r="U200" s="48"/>
      <c r="V200" s="48"/>
    </row>
    <row r="201" spans="1:22">
      <c r="A201" s="48"/>
      <c r="B201" s="48"/>
      <c r="C201" s="48"/>
      <c r="D201" s="48"/>
      <c r="E201" s="48"/>
      <c r="F201" s="48"/>
      <c r="G201" s="48"/>
      <c r="H201" s="48"/>
      <c r="I201" s="48"/>
      <c r="J201" s="48"/>
      <c r="K201" s="48"/>
      <c r="L201" s="48"/>
      <c r="M201" s="48"/>
      <c r="N201" s="48"/>
      <c r="O201" s="48"/>
      <c r="P201" s="48"/>
      <c r="Q201" s="48"/>
      <c r="R201" s="48"/>
      <c r="S201" s="48"/>
      <c r="T201" s="48"/>
      <c r="U201" s="48"/>
      <c r="V201" s="48"/>
    </row>
    <row r="202" spans="1:22">
      <c r="A202" s="48"/>
      <c r="B202" s="48"/>
      <c r="C202" s="48"/>
      <c r="D202" s="48"/>
      <c r="E202" s="48"/>
      <c r="F202" s="48"/>
      <c r="G202" s="48"/>
      <c r="H202" s="48"/>
      <c r="I202" s="48"/>
      <c r="J202" s="48"/>
      <c r="K202" s="48"/>
      <c r="L202" s="48"/>
      <c r="M202" s="48"/>
      <c r="N202" s="48"/>
      <c r="O202" s="48"/>
      <c r="P202" s="48"/>
      <c r="Q202" s="48"/>
      <c r="R202" s="48"/>
      <c r="S202" s="48"/>
      <c r="T202" s="48"/>
      <c r="U202" s="48"/>
      <c r="V202" s="48"/>
    </row>
    <row r="203" spans="1:22">
      <c r="A203" s="48"/>
      <c r="B203" s="48"/>
      <c r="C203" s="48"/>
      <c r="D203" s="48"/>
      <c r="E203" s="48"/>
      <c r="F203" s="48"/>
      <c r="G203" s="48"/>
      <c r="H203" s="48"/>
      <c r="I203" s="48"/>
      <c r="J203" s="48"/>
      <c r="K203" s="48"/>
      <c r="L203" s="48"/>
      <c r="M203" s="48"/>
      <c r="N203" s="48"/>
      <c r="O203" s="48"/>
      <c r="P203" s="48"/>
      <c r="Q203" s="48"/>
      <c r="R203" s="48"/>
      <c r="S203" s="48"/>
      <c r="T203" s="48"/>
      <c r="U203" s="48"/>
      <c r="V203" s="48"/>
    </row>
    <row r="204" spans="1:22">
      <c r="A204" s="48"/>
      <c r="B204" s="48"/>
      <c r="C204" s="48"/>
      <c r="D204" s="48"/>
      <c r="E204" s="48"/>
      <c r="F204" s="48"/>
      <c r="G204" s="48"/>
      <c r="H204" s="48"/>
      <c r="I204" s="48"/>
      <c r="J204" s="48"/>
      <c r="K204" s="48"/>
      <c r="L204" s="48"/>
      <c r="M204" s="48"/>
      <c r="N204" s="48"/>
      <c r="O204" s="48"/>
      <c r="P204" s="48"/>
      <c r="Q204" s="48"/>
      <c r="R204" s="48"/>
      <c r="S204" s="48"/>
      <c r="T204" s="48"/>
      <c r="U204" s="48"/>
      <c r="V204" s="48"/>
    </row>
    <row r="205" spans="1:22">
      <c r="A205" s="48"/>
      <c r="B205" s="48"/>
      <c r="C205" s="48"/>
      <c r="D205" s="48"/>
      <c r="E205" s="48"/>
      <c r="F205" s="48"/>
      <c r="G205" s="48"/>
      <c r="H205" s="48"/>
      <c r="I205" s="48"/>
      <c r="J205" s="48"/>
      <c r="K205" s="48"/>
      <c r="L205" s="48"/>
      <c r="M205" s="48"/>
      <c r="N205" s="48"/>
      <c r="O205" s="48"/>
      <c r="P205" s="48"/>
      <c r="Q205" s="48"/>
      <c r="R205" s="48"/>
      <c r="S205" s="48"/>
      <c r="T205" s="48"/>
      <c r="U205" s="48"/>
      <c r="V205" s="48"/>
    </row>
    <row r="206" spans="1:22">
      <c r="A206" s="48"/>
      <c r="B206" s="48"/>
      <c r="C206" s="48"/>
      <c r="D206" s="48"/>
      <c r="E206" s="48"/>
      <c r="F206" s="48"/>
      <c r="G206" s="48"/>
      <c r="H206" s="48"/>
      <c r="I206" s="48"/>
      <c r="J206" s="48"/>
      <c r="K206" s="48"/>
      <c r="L206" s="48"/>
      <c r="M206" s="48"/>
      <c r="N206" s="48"/>
      <c r="O206" s="48"/>
      <c r="P206" s="48"/>
      <c r="Q206" s="48"/>
      <c r="R206" s="48"/>
      <c r="S206" s="48"/>
      <c r="T206" s="48"/>
      <c r="U206" s="48"/>
      <c r="V206" s="48"/>
    </row>
    <row r="207" spans="1:22">
      <c r="A207" s="48"/>
      <c r="B207" s="48"/>
      <c r="C207" s="48"/>
      <c r="D207" s="48"/>
      <c r="E207" s="48"/>
      <c r="F207" s="48"/>
      <c r="G207" s="48"/>
      <c r="H207" s="48"/>
      <c r="I207" s="48"/>
      <c r="J207" s="48"/>
      <c r="K207" s="48"/>
      <c r="L207" s="48"/>
      <c r="M207" s="48"/>
      <c r="N207" s="48"/>
      <c r="O207" s="48"/>
      <c r="P207" s="48"/>
      <c r="Q207" s="48"/>
      <c r="R207" s="48"/>
      <c r="S207" s="48"/>
      <c r="T207" s="48"/>
      <c r="U207" s="48"/>
      <c r="V207" s="48"/>
    </row>
    <row r="208" spans="1:22">
      <c r="A208" s="48"/>
      <c r="B208" s="48"/>
      <c r="C208" s="48"/>
      <c r="D208" s="48"/>
      <c r="E208" s="48"/>
      <c r="F208" s="48"/>
      <c r="G208" s="48"/>
      <c r="H208" s="48"/>
      <c r="I208" s="48"/>
      <c r="J208" s="48"/>
      <c r="K208" s="48"/>
      <c r="L208" s="48"/>
      <c r="M208" s="48"/>
      <c r="N208" s="48"/>
      <c r="O208" s="48"/>
      <c r="P208" s="48"/>
      <c r="Q208" s="48"/>
      <c r="R208" s="48"/>
      <c r="S208" s="48"/>
      <c r="T208" s="48"/>
      <c r="U208" s="48"/>
      <c r="V208" s="48"/>
    </row>
    <row r="209" spans="1:22">
      <c r="A209" s="48"/>
      <c r="B209" s="48"/>
      <c r="C209" s="48"/>
      <c r="D209" s="48"/>
      <c r="E209" s="48"/>
      <c r="F209" s="48"/>
      <c r="G209" s="48"/>
      <c r="H209" s="48"/>
      <c r="I209" s="48"/>
      <c r="J209" s="48"/>
      <c r="K209" s="48"/>
      <c r="L209" s="48"/>
      <c r="M209" s="48"/>
      <c r="N209" s="48"/>
      <c r="O209" s="48"/>
      <c r="P209" s="48"/>
      <c r="Q209" s="48"/>
      <c r="R209" s="48"/>
      <c r="S209" s="48"/>
      <c r="T209" s="48"/>
      <c r="U209" s="48"/>
      <c r="V209" s="48"/>
    </row>
    <row r="210" spans="1:22">
      <c r="A210" s="48"/>
      <c r="B210" s="48"/>
      <c r="C210" s="48"/>
      <c r="D210" s="48"/>
      <c r="E210" s="48"/>
      <c r="F210" s="48"/>
      <c r="G210" s="48"/>
      <c r="H210" s="48"/>
      <c r="I210" s="48"/>
      <c r="J210" s="48"/>
      <c r="K210" s="48"/>
      <c r="L210" s="48"/>
      <c r="M210" s="48"/>
      <c r="N210" s="48"/>
      <c r="O210" s="48"/>
      <c r="P210" s="48"/>
      <c r="Q210" s="48"/>
      <c r="R210" s="48"/>
      <c r="S210" s="48"/>
      <c r="T210" s="48"/>
      <c r="U210" s="48"/>
      <c r="V210" s="48"/>
    </row>
    <row r="211" spans="1:22">
      <c r="A211" s="48"/>
      <c r="B211" s="48"/>
      <c r="C211" s="48"/>
      <c r="D211" s="48"/>
      <c r="E211" s="48"/>
      <c r="F211" s="48"/>
      <c r="G211" s="48"/>
      <c r="H211" s="48"/>
      <c r="I211" s="48"/>
      <c r="J211" s="48"/>
      <c r="K211" s="48"/>
      <c r="L211" s="48"/>
      <c r="M211" s="48"/>
      <c r="N211" s="48"/>
      <c r="O211" s="48"/>
      <c r="P211" s="48"/>
      <c r="Q211" s="48"/>
      <c r="R211" s="48"/>
      <c r="S211" s="48"/>
      <c r="T211" s="48"/>
      <c r="U211" s="48"/>
      <c r="V211" s="48"/>
    </row>
    <row r="212" spans="1:22">
      <c r="A212" s="48"/>
      <c r="B212" s="48"/>
      <c r="C212" s="48"/>
      <c r="D212" s="48"/>
      <c r="E212" s="48"/>
      <c r="F212" s="48"/>
      <c r="G212" s="48"/>
      <c r="H212" s="48"/>
      <c r="I212" s="48"/>
      <c r="J212" s="48"/>
      <c r="K212" s="48"/>
      <c r="L212" s="48"/>
      <c r="M212" s="48"/>
      <c r="N212" s="48"/>
      <c r="O212" s="48"/>
      <c r="P212" s="48"/>
      <c r="Q212" s="48"/>
      <c r="R212" s="48"/>
      <c r="S212" s="48"/>
      <c r="T212" s="48"/>
      <c r="U212" s="48"/>
      <c r="V212" s="48"/>
    </row>
    <row r="213" spans="1:22">
      <c r="A213" s="48"/>
      <c r="B213" s="48"/>
      <c r="C213" s="48"/>
      <c r="D213" s="48"/>
      <c r="E213" s="48"/>
      <c r="F213" s="48"/>
      <c r="G213" s="48"/>
      <c r="H213" s="48"/>
      <c r="I213" s="48"/>
      <c r="J213" s="48"/>
      <c r="K213" s="48"/>
      <c r="L213" s="48"/>
      <c r="M213" s="48"/>
      <c r="N213" s="48"/>
      <c r="O213" s="48"/>
      <c r="P213" s="48"/>
      <c r="Q213" s="48"/>
      <c r="R213" s="48"/>
      <c r="S213" s="48"/>
      <c r="T213" s="48"/>
      <c r="U213" s="48"/>
      <c r="V213" s="48"/>
    </row>
    <row r="214" spans="1:22">
      <c r="A214" s="48"/>
      <c r="B214" s="48"/>
      <c r="C214" s="48"/>
      <c r="D214" s="48"/>
      <c r="E214" s="48"/>
      <c r="F214" s="48"/>
      <c r="G214" s="48"/>
      <c r="H214" s="48"/>
      <c r="I214" s="48"/>
      <c r="J214" s="48"/>
      <c r="K214" s="48"/>
      <c r="L214" s="48"/>
      <c r="M214" s="48"/>
      <c r="N214" s="48"/>
      <c r="O214" s="48"/>
      <c r="P214" s="48"/>
      <c r="Q214" s="48"/>
      <c r="R214" s="48"/>
      <c r="S214" s="48"/>
      <c r="T214" s="48"/>
      <c r="U214" s="48"/>
      <c r="V214" s="48"/>
    </row>
    <row r="215" spans="1:22">
      <c r="A215" s="48"/>
      <c r="B215" s="48"/>
      <c r="C215" s="48"/>
      <c r="D215" s="48"/>
      <c r="E215" s="48"/>
      <c r="F215" s="48"/>
      <c r="G215" s="48"/>
      <c r="H215" s="48"/>
      <c r="I215" s="48"/>
      <c r="J215" s="48"/>
      <c r="K215" s="48"/>
      <c r="L215" s="48"/>
      <c r="M215" s="48"/>
      <c r="N215" s="48"/>
      <c r="O215" s="48"/>
      <c r="P215" s="48"/>
      <c r="Q215" s="48"/>
      <c r="R215" s="48"/>
      <c r="S215" s="48"/>
      <c r="T215" s="48"/>
      <c r="U215" s="48"/>
      <c r="V215" s="48"/>
    </row>
    <row r="216" spans="1:22">
      <c r="A216" s="48"/>
      <c r="B216" s="48"/>
      <c r="C216" s="48"/>
      <c r="D216" s="48"/>
      <c r="E216" s="48"/>
      <c r="F216" s="48"/>
      <c r="G216" s="48"/>
      <c r="H216" s="48"/>
      <c r="I216" s="48"/>
      <c r="J216" s="48"/>
      <c r="K216" s="48"/>
      <c r="L216" s="48"/>
      <c r="M216" s="48"/>
      <c r="N216" s="48"/>
      <c r="O216" s="48"/>
      <c r="P216" s="48"/>
      <c r="Q216" s="48"/>
      <c r="R216" s="48"/>
      <c r="S216" s="48"/>
      <c r="T216" s="48"/>
      <c r="U216" s="48"/>
      <c r="V216" s="48"/>
    </row>
    <row r="217" spans="1:22">
      <c r="A217" s="48"/>
      <c r="B217" s="48"/>
      <c r="C217" s="48"/>
      <c r="D217" s="48"/>
      <c r="E217" s="48"/>
      <c r="F217" s="48"/>
      <c r="G217" s="48"/>
      <c r="H217" s="48"/>
      <c r="I217" s="48"/>
      <c r="J217" s="48"/>
      <c r="K217" s="48"/>
      <c r="L217" s="48"/>
      <c r="M217" s="48"/>
      <c r="N217" s="48"/>
      <c r="O217" s="48"/>
      <c r="P217" s="48"/>
      <c r="Q217" s="48"/>
      <c r="R217" s="48"/>
      <c r="S217" s="48"/>
      <c r="T217" s="48"/>
      <c r="U217" s="48"/>
      <c r="V217" s="48"/>
    </row>
    <row r="218" spans="1:22">
      <c r="A218" s="48"/>
      <c r="B218" s="48"/>
      <c r="C218" s="48"/>
      <c r="D218" s="48"/>
      <c r="E218" s="48"/>
      <c r="F218" s="48"/>
      <c r="G218" s="48"/>
      <c r="H218" s="48"/>
      <c r="I218" s="48"/>
      <c r="J218" s="48"/>
      <c r="K218" s="48"/>
      <c r="L218" s="48"/>
      <c r="M218" s="48"/>
      <c r="N218" s="48"/>
      <c r="O218" s="48"/>
      <c r="P218" s="48"/>
      <c r="Q218" s="48"/>
      <c r="R218" s="48"/>
      <c r="S218" s="48"/>
      <c r="T218" s="48"/>
      <c r="U218" s="48"/>
      <c r="V218" s="48"/>
    </row>
    <row r="219" spans="1:22">
      <c r="A219" s="48"/>
      <c r="B219" s="48"/>
      <c r="C219" s="48"/>
      <c r="D219" s="48"/>
      <c r="E219" s="48"/>
      <c r="F219" s="48"/>
      <c r="G219" s="48"/>
      <c r="H219" s="48"/>
      <c r="I219" s="48"/>
      <c r="J219" s="48"/>
      <c r="K219" s="48"/>
      <c r="L219" s="48"/>
      <c r="M219" s="48"/>
      <c r="N219" s="48"/>
      <c r="O219" s="48"/>
      <c r="P219" s="48"/>
      <c r="Q219" s="48"/>
      <c r="R219" s="48"/>
      <c r="S219" s="48"/>
      <c r="T219" s="48"/>
      <c r="U219" s="48"/>
      <c r="V219" s="48"/>
    </row>
    <row r="220" spans="1:22">
      <c r="A220" s="48"/>
      <c r="B220" s="48"/>
      <c r="C220" s="48"/>
      <c r="D220" s="48"/>
      <c r="E220" s="48"/>
      <c r="F220" s="48"/>
      <c r="G220" s="48"/>
      <c r="H220" s="48"/>
      <c r="I220" s="48"/>
      <c r="J220" s="48"/>
      <c r="K220" s="48"/>
      <c r="L220" s="48"/>
      <c r="M220" s="48"/>
      <c r="N220" s="48"/>
      <c r="O220" s="48"/>
      <c r="P220" s="48"/>
      <c r="Q220" s="48"/>
      <c r="R220" s="48"/>
      <c r="S220" s="48"/>
      <c r="T220" s="48"/>
      <c r="U220" s="48"/>
      <c r="V220" s="48"/>
    </row>
    <row r="221" spans="1:22">
      <c r="A221" s="48"/>
      <c r="B221" s="48"/>
      <c r="C221" s="48"/>
      <c r="D221" s="48"/>
      <c r="E221" s="48"/>
      <c r="F221" s="48"/>
      <c r="G221" s="48"/>
      <c r="H221" s="48"/>
      <c r="I221" s="48"/>
      <c r="J221" s="48"/>
      <c r="K221" s="48"/>
      <c r="L221" s="48"/>
      <c r="M221" s="48"/>
      <c r="N221" s="48"/>
      <c r="O221" s="48"/>
      <c r="P221" s="48"/>
      <c r="Q221" s="48"/>
      <c r="R221" s="48"/>
      <c r="S221" s="48"/>
      <c r="T221" s="48"/>
      <c r="U221" s="48"/>
      <c r="V221" s="48"/>
    </row>
    <row r="222" spans="1:22">
      <c r="A222" s="48"/>
      <c r="B222" s="48"/>
      <c r="C222" s="48"/>
      <c r="D222" s="48"/>
      <c r="E222" s="48"/>
      <c r="F222" s="48"/>
      <c r="G222" s="48"/>
      <c r="H222" s="48"/>
      <c r="I222" s="48"/>
      <c r="J222" s="48"/>
      <c r="K222" s="48"/>
      <c r="L222" s="48"/>
      <c r="M222" s="48"/>
      <c r="N222" s="48"/>
      <c r="O222" s="48"/>
      <c r="P222" s="48"/>
      <c r="Q222" s="48"/>
      <c r="R222" s="48"/>
      <c r="S222" s="48"/>
      <c r="T222" s="48"/>
      <c r="U222" s="48"/>
      <c r="V222" s="48"/>
    </row>
    <row r="223" spans="1:22">
      <c r="A223" s="48"/>
      <c r="B223" s="48"/>
      <c r="C223" s="48"/>
      <c r="D223" s="48"/>
      <c r="E223" s="48"/>
      <c r="F223" s="48"/>
      <c r="G223" s="48"/>
      <c r="H223" s="48"/>
      <c r="I223" s="48"/>
      <c r="J223" s="48"/>
      <c r="K223" s="48"/>
      <c r="L223" s="48"/>
      <c r="M223" s="48"/>
      <c r="N223" s="48"/>
      <c r="O223" s="48"/>
      <c r="P223" s="48"/>
      <c r="Q223" s="48"/>
      <c r="R223" s="48"/>
      <c r="S223" s="48"/>
      <c r="T223" s="48"/>
      <c r="U223" s="48"/>
      <c r="V223" s="48"/>
    </row>
    <row r="224" spans="1:22">
      <c r="A224" s="48"/>
      <c r="B224" s="48"/>
      <c r="C224" s="48"/>
      <c r="D224" s="48"/>
      <c r="E224" s="48"/>
      <c r="F224" s="48"/>
      <c r="G224" s="48"/>
      <c r="H224" s="48"/>
      <c r="I224" s="48"/>
      <c r="J224" s="48"/>
      <c r="K224" s="48"/>
      <c r="L224" s="48"/>
      <c r="M224" s="48"/>
      <c r="N224" s="48"/>
      <c r="O224" s="48"/>
      <c r="P224" s="48"/>
      <c r="Q224" s="48"/>
      <c r="R224" s="48"/>
      <c r="S224" s="48"/>
      <c r="T224" s="48"/>
      <c r="U224" s="48"/>
      <c r="V224" s="48"/>
    </row>
    <row r="225" spans="1:22">
      <c r="A225" s="48"/>
      <c r="B225" s="48"/>
      <c r="C225" s="48"/>
      <c r="D225" s="48"/>
      <c r="E225" s="48"/>
      <c r="F225" s="48"/>
      <c r="G225" s="48"/>
      <c r="H225" s="48"/>
      <c r="I225" s="48"/>
      <c r="J225" s="48"/>
      <c r="K225" s="48"/>
      <c r="L225" s="48"/>
      <c r="M225" s="48"/>
      <c r="N225" s="48"/>
      <c r="O225" s="48"/>
      <c r="P225" s="48"/>
      <c r="Q225" s="48"/>
      <c r="R225" s="48"/>
      <c r="S225" s="48"/>
      <c r="T225" s="48"/>
      <c r="U225" s="48"/>
      <c r="V225" s="48"/>
    </row>
    <row r="226" spans="1:22">
      <c r="A226" s="48"/>
      <c r="B226" s="48"/>
      <c r="C226" s="48"/>
      <c r="D226" s="48"/>
      <c r="E226" s="48"/>
      <c r="F226" s="48"/>
      <c r="G226" s="48"/>
      <c r="H226" s="48"/>
      <c r="I226" s="48"/>
      <c r="J226" s="48"/>
      <c r="K226" s="48"/>
      <c r="L226" s="48"/>
      <c r="M226" s="48"/>
      <c r="N226" s="48"/>
      <c r="O226" s="48"/>
      <c r="P226" s="48"/>
      <c r="Q226" s="48"/>
      <c r="R226" s="48"/>
      <c r="S226" s="48"/>
      <c r="T226" s="48"/>
      <c r="U226" s="48"/>
      <c r="V226" s="48"/>
    </row>
    <row r="227" spans="1:22">
      <c r="A227" s="48"/>
      <c r="B227" s="48"/>
      <c r="C227" s="48"/>
      <c r="D227" s="48"/>
      <c r="E227" s="48"/>
      <c r="F227" s="48"/>
      <c r="G227" s="48"/>
      <c r="H227" s="48"/>
      <c r="I227" s="48"/>
      <c r="J227" s="48"/>
      <c r="K227" s="48"/>
      <c r="L227" s="48"/>
      <c r="M227" s="48"/>
      <c r="N227" s="48"/>
      <c r="O227" s="48"/>
      <c r="P227" s="48"/>
      <c r="Q227" s="48"/>
      <c r="R227" s="48"/>
      <c r="S227" s="48"/>
      <c r="T227" s="48"/>
      <c r="U227" s="48"/>
      <c r="V227" s="48"/>
    </row>
    <row r="228" spans="1:22">
      <c r="A228" s="48"/>
      <c r="B228" s="48"/>
      <c r="C228" s="48"/>
      <c r="D228" s="48"/>
      <c r="E228" s="48"/>
      <c r="F228" s="48"/>
      <c r="G228" s="48"/>
      <c r="H228" s="48"/>
      <c r="I228" s="48"/>
      <c r="J228" s="48"/>
      <c r="K228" s="48"/>
      <c r="L228" s="48"/>
      <c r="M228" s="48"/>
      <c r="N228" s="48"/>
      <c r="O228" s="48"/>
      <c r="P228" s="48"/>
      <c r="Q228" s="48"/>
      <c r="R228" s="48"/>
      <c r="S228" s="48"/>
      <c r="T228" s="48"/>
      <c r="U228" s="48"/>
      <c r="V228" s="48"/>
    </row>
    <row r="229" spans="1:22">
      <c r="A229" s="48"/>
      <c r="B229" s="48"/>
      <c r="C229" s="48"/>
      <c r="D229" s="48"/>
      <c r="E229" s="48"/>
      <c r="F229" s="48"/>
      <c r="G229" s="48"/>
      <c r="H229" s="48"/>
      <c r="I229" s="48"/>
      <c r="J229" s="48"/>
      <c r="K229" s="48"/>
      <c r="L229" s="48"/>
      <c r="M229" s="48"/>
      <c r="N229" s="48"/>
      <c r="O229" s="48"/>
      <c r="P229" s="48"/>
      <c r="Q229" s="48"/>
      <c r="R229" s="48"/>
      <c r="S229" s="48"/>
      <c r="T229" s="48"/>
      <c r="U229" s="48"/>
      <c r="V229" s="48"/>
    </row>
    <row r="230" spans="1:22">
      <c r="A230" s="48"/>
      <c r="B230" s="48"/>
      <c r="C230" s="48"/>
      <c r="D230" s="48"/>
      <c r="E230" s="48"/>
      <c r="F230" s="48"/>
      <c r="G230" s="48"/>
      <c r="H230" s="48"/>
      <c r="I230" s="48"/>
      <c r="J230" s="48"/>
      <c r="K230" s="48"/>
      <c r="L230" s="48"/>
      <c r="M230" s="48"/>
      <c r="N230" s="48"/>
      <c r="O230" s="48"/>
      <c r="P230" s="48"/>
      <c r="Q230" s="48"/>
      <c r="R230" s="48"/>
      <c r="S230" s="48"/>
      <c r="T230" s="48"/>
      <c r="U230" s="48"/>
      <c r="V230" s="48"/>
    </row>
    <row r="231" spans="1:22">
      <c r="A231" s="48"/>
      <c r="B231" s="48"/>
      <c r="C231" s="48"/>
      <c r="D231" s="48"/>
      <c r="E231" s="48"/>
      <c r="F231" s="48"/>
      <c r="G231" s="48"/>
      <c r="H231" s="48"/>
      <c r="I231" s="48"/>
      <c r="J231" s="48"/>
      <c r="K231" s="48"/>
      <c r="L231" s="48"/>
      <c r="M231" s="48"/>
      <c r="N231" s="48"/>
      <c r="O231" s="48"/>
      <c r="P231" s="48"/>
      <c r="Q231" s="48"/>
      <c r="R231" s="48"/>
      <c r="S231" s="48"/>
      <c r="T231" s="48"/>
      <c r="U231" s="48"/>
      <c r="V231" s="48"/>
    </row>
    <row r="232" spans="1:22">
      <c r="A232" s="48"/>
      <c r="B232" s="48"/>
      <c r="C232" s="48"/>
      <c r="D232" s="48"/>
      <c r="E232" s="48"/>
      <c r="F232" s="48"/>
      <c r="G232" s="48"/>
      <c r="H232" s="48"/>
      <c r="I232" s="48"/>
      <c r="J232" s="48"/>
      <c r="K232" s="48"/>
      <c r="L232" s="48"/>
      <c r="M232" s="48"/>
      <c r="N232" s="48"/>
      <c r="O232" s="48"/>
      <c r="P232" s="48"/>
      <c r="Q232" s="48"/>
      <c r="R232" s="48"/>
      <c r="S232" s="48"/>
      <c r="T232" s="48"/>
      <c r="U232" s="48"/>
      <c r="V232" s="48"/>
    </row>
    <row r="233" spans="1:22">
      <c r="A233" s="48"/>
      <c r="B233" s="48"/>
      <c r="C233" s="48"/>
      <c r="D233" s="48"/>
      <c r="E233" s="48"/>
      <c r="F233" s="48"/>
      <c r="G233" s="48"/>
      <c r="H233" s="48"/>
      <c r="I233" s="48"/>
      <c r="J233" s="48"/>
      <c r="K233" s="48"/>
      <c r="L233" s="48"/>
      <c r="M233" s="48"/>
      <c r="N233" s="48"/>
      <c r="O233" s="48"/>
      <c r="P233" s="48"/>
      <c r="Q233" s="48"/>
      <c r="R233" s="48"/>
      <c r="S233" s="48"/>
      <c r="T233" s="48"/>
      <c r="U233" s="48"/>
      <c r="V233" s="48"/>
    </row>
    <row r="234" spans="1:22">
      <c r="A234" s="48"/>
      <c r="B234" s="48"/>
      <c r="C234" s="48"/>
      <c r="D234" s="48"/>
      <c r="E234" s="48"/>
      <c r="F234" s="48"/>
      <c r="G234" s="48"/>
      <c r="H234" s="48"/>
      <c r="I234" s="48"/>
      <c r="J234" s="48"/>
      <c r="K234" s="48"/>
      <c r="L234" s="48"/>
      <c r="M234" s="48"/>
      <c r="N234" s="48"/>
      <c r="O234" s="48"/>
      <c r="P234" s="48"/>
      <c r="Q234" s="48"/>
      <c r="R234" s="48"/>
      <c r="S234" s="48"/>
      <c r="T234" s="48"/>
      <c r="U234" s="48"/>
      <c r="V234" s="48"/>
    </row>
    <row r="235" spans="1:22">
      <c r="A235" s="48"/>
      <c r="B235" s="48"/>
      <c r="C235" s="48"/>
      <c r="D235" s="48"/>
      <c r="E235" s="48"/>
      <c r="F235" s="48"/>
      <c r="G235" s="48"/>
      <c r="H235" s="48"/>
      <c r="I235" s="48"/>
      <c r="J235" s="48"/>
      <c r="K235" s="48"/>
      <c r="L235" s="48"/>
      <c r="M235" s="48"/>
      <c r="N235" s="48"/>
      <c r="O235" s="48"/>
      <c r="P235" s="48"/>
      <c r="Q235" s="48"/>
      <c r="R235" s="48"/>
      <c r="S235" s="48"/>
      <c r="T235" s="48"/>
      <c r="U235" s="48"/>
      <c r="V235" s="48"/>
    </row>
    <row r="236" spans="1:22">
      <c r="A236" s="48"/>
      <c r="B236" s="48"/>
      <c r="C236" s="48"/>
      <c r="D236" s="48"/>
      <c r="E236" s="48"/>
      <c r="F236" s="48"/>
      <c r="G236" s="48"/>
      <c r="H236" s="48"/>
      <c r="I236" s="48"/>
      <c r="J236" s="48"/>
      <c r="K236" s="48"/>
      <c r="L236" s="48"/>
      <c r="M236" s="48"/>
      <c r="N236" s="48"/>
      <c r="O236" s="48"/>
      <c r="P236" s="48"/>
      <c r="Q236" s="48"/>
      <c r="R236" s="48"/>
      <c r="S236" s="48"/>
      <c r="T236" s="48"/>
      <c r="U236" s="48"/>
      <c r="V236" s="48"/>
    </row>
    <row r="237" spans="1:22">
      <c r="A237" s="48"/>
      <c r="B237" s="48"/>
      <c r="C237" s="48"/>
      <c r="D237" s="48"/>
      <c r="E237" s="48"/>
      <c r="F237" s="48"/>
      <c r="G237" s="48"/>
      <c r="H237" s="48"/>
      <c r="I237" s="48"/>
      <c r="J237" s="48"/>
      <c r="K237" s="48"/>
      <c r="L237" s="48"/>
      <c r="M237" s="48"/>
      <c r="N237" s="48"/>
      <c r="O237" s="48"/>
      <c r="P237" s="48"/>
      <c r="Q237" s="48"/>
      <c r="R237" s="48"/>
      <c r="S237" s="48"/>
      <c r="T237" s="48"/>
      <c r="U237" s="48"/>
      <c r="V237" s="48"/>
    </row>
    <row r="238" spans="1:22">
      <c r="A238" s="48"/>
      <c r="B238" s="48"/>
      <c r="C238" s="48"/>
      <c r="D238" s="48"/>
      <c r="E238" s="48"/>
      <c r="F238" s="48"/>
      <c r="G238" s="48"/>
      <c r="H238" s="48"/>
      <c r="I238" s="48"/>
      <c r="J238" s="48"/>
      <c r="K238" s="48"/>
      <c r="L238" s="48"/>
      <c r="M238" s="48"/>
      <c r="N238" s="48"/>
      <c r="O238" s="48"/>
      <c r="P238" s="48"/>
      <c r="Q238" s="48"/>
      <c r="R238" s="48"/>
      <c r="S238" s="48"/>
      <c r="T238" s="48"/>
      <c r="U238" s="48"/>
      <c r="V238" s="48"/>
    </row>
    <row r="239" spans="1:22">
      <c r="A239" s="48"/>
      <c r="B239" s="48"/>
      <c r="C239" s="48"/>
      <c r="D239" s="48"/>
      <c r="E239" s="48"/>
      <c r="F239" s="48"/>
      <c r="G239" s="48"/>
      <c r="H239" s="48"/>
      <c r="I239" s="48"/>
      <c r="J239" s="48"/>
      <c r="K239" s="48"/>
      <c r="L239" s="48"/>
      <c r="M239" s="48"/>
      <c r="N239" s="48"/>
      <c r="O239" s="48"/>
      <c r="P239" s="48"/>
      <c r="Q239" s="48"/>
      <c r="R239" s="48"/>
      <c r="S239" s="48"/>
      <c r="T239" s="48"/>
      <c r="U239" s="48"/>
      <c r="V239" s="48"/>
    </row>
    <row r="240" spans="1:22">
      <c r="A240" s="48"/>
      <c r="B240" s="48"/>
      <c r="C240" s="48"/>
      <c r="D240" s="48"/>
      <c r="E240" s="48"/>
      <c r="F240" s="48"/>
      <c r="G240" s="48"/>
      <c r="H240" s="48"/>
      <c r="I240" s="48"/>
      <c r="J240" s="48"/>
      <c r="K240" s="48"/>
      <c r="L240" s="48"/>
      <c r="M240" s="48"/>
      <c r="N240" s="48"/>
      <c r="O240" s="48"/>
      <c r="P240" s="48"/>
      <c r="Q240" s="48"/>
      <c r="R240" s="48"/>
      <c r="S240" s="48"/>
      <c r="T240" s="48"/>
      <c r="U240" s="48"/>
      <c r="V240" s="48"/>
    </row>
    <row r="241" spans="1:22">
      <c r="A241" s="48"/>
      <c r="B241" s="48"/>
      <c r="C241" s="48"/>
      <c r="D241" s="48"/>
      <c r="E241" s="48"/>
      <c r="F241" s="48"/>
      <c r="G241" s="48"/>
      <c r="H241" s="48"/>
      <c r="I241" s="48"/>
      <c r="J241" s="48"/>
      <c r="K241" s="48"/>
      <c r="L241" s="48"/>
      <c r="M241" s="48"/>
      <c r="N241" s="48"/>
      <c r="O241" s="48"/>
      <c r="P241" s="48"/>
      <c r="Q241" s="48"/>
      <c r="R241" s="48"/>
      <c r="S241" s="48"/>
      <c r="T241" s="48"/>
      <c r="U241" s="48"/>
      <c r="V241" s="48"/>
    </row>
    <row r="242" spans="1:22">
      <c r="A242" s="48"/>
      <c r="B242" s="48"/>
      <c r="C242" s="48"/>
      <c r="D242" s="48"/>
      <c r="E242" s="48"/>
      <c r="F242" s="48"/>
      <c r="G242" s="48"/>
      <c r="H242" s="48"/>
      <c r="I242" s="48"/>
      <c r="J242" s="48"/>
      <c r="K242" s="48"/>
      <c r="L242" s="48"/>
      <c r="M242" s="48"/>
      <c r="N242" s="48"/>
      <c r="O242" s="48"/>
      <c r="P242" s="48"/>
      <c r="Q242" s="48"/>
      <c r="R242" s="48"/>
      <c r="S242" s="48"/>
      <c r="T242" s="48"/>
      <c r="U242" s="48"/>
      <c r="V242" s="48"/>
    </row>
    <row r="243" spans="1:22">
      <c r="A243" s="48"/>
      <c r="B243" s="48"/>
      <c r="C243" s="48"/>
      <c r="D243" s="48"/>
      <c r="E243" s="48"/>
      <c r="F243" s="48"/>
      <c r="G243" s="48"/>
      <c r="H243" s="48"/>
      <c r="I243" s="48"/>
      <c r="J243" s="48"/>
      <c r="K243" s="48"/>
      <c r="L243" s="48"/>
      <c r="M243" s="48"/>
      <c r="N243" s="48"/>
      <c r="O243" s="48"/>
      <c r="P243" s="48"/>
      <c r="Q243" s="48"/>
      <c r="R243" s="48"/>
      <c r="S243" s="48"/>
      <c r="T243" s="48"/>
      <c r="U243" s="48"/>
      <c r="V243" s="48"/>
    </row>
    <row r="244" spans="1:22">
      <c r="A244" s="48"/>
      <c r="B244" s="48"/>
      <c r="C244" s="48"/>
      <c r="D244" s="48"/>
      <c r="E244" s="48"/>
      <c r="F244" s="48"/>
      <c r="G244" s="48"/>
      <c r="H244" s="48"/>
      <c r="I244" s="48"/>
      <c r="J244" s="48"/>
      <c r="K244" s="48"/>
      <c r="L244" s="48"/>
      <c r="M244" s="48"/>
      <c r="N244" s="48"/>
      <c r="O244" s="48"/>
      <c r="P244" s="48"/>
      <c r="Q244" s="48"/>
      <c r="R244" s="48"/>
      <c r="S244" s="48"/>
      <c r="T244" s="48"/>
      <c r="U244" s="48"/>
      <c r="V244" s="48"/>
    </row>
    <row r="245" spans="1:22">
      <c r="A245" s="48"/>
      <c r="B245" s="48"/>
      <c r="C245" s="48"/>
      <c r="D245" s="48"/>
      <c r="E245" s="48"/>
      <c r="F245" s="48"/>
      <c r="G245" s="48"/>
      <c r="H245" s="48"/>
      <c r="I245" s="48"/>
      <c r="J245" s="48"/>
      <c r="K245" s="48"/>
      <c r="L245" s="48"/>
      <c r="M245" s="48"/>
      <c r="N245" s="48"/>
      <c r="O245" s="48"/>
      <c r="P245" s="48"/>
      <c r="Q245" s="48"/>
      <c r="R245" s="48"/>
      <c r="S245" s="48"/>
      <c r="T245" s="48"/>
      <c r="U245" s="48"/>
      <c r="V245" s="48"/>
    </row>
    <row r="246" spans="1:22">
      <c r="A246" s="48"/>
      <c r="B246" s="48"/>
      <c r="C246" s="48"/>
      <c r="D246" s="48"/>
      <c r="E246" s="48"/>
      <c r="F246" s="48"/>
      <c r="G246" s="48"/>
      <c r="H246" s="48"/>
      <c r="I246" s="48"/>
      <c r="J246" s="48"/>
      <c r="K246" s="48"/>
      <c r="L246" s="48"/>
      <c r="M246" s="48"/>
      <c r="N246" s="48"/>
      <c r="O246" s="48"/>
      <c r="P246" s="48"/>
      <c r="Q246" s="48"/>
      <c r="R246" s="48"/>
      <c r="S246" s="48"/>
      <c r="T246" s="48"/>
      <c r="U246" s="48"/>
      <c r="V246" s="48"/>
    </row>
    <row r="247" spans="1:22">
      <c r="A247" s="48"/>
      <c r="B247" s="48"/>
      <c r="C247" s="48"/>
      <c r="D247" s="48"/>
      <c r="E247" s="48"/>
      <c r="F247" s="48"/>
      <c r="G247" s="48"/>
      <c r="H247" s="48"/>
      <c r="I247" s="48"/>
      <c r="J247" s="48"/>
      <c r="K247" s="48"/>
      <c r="L247" s="48"/>
      <c r="M247" s="48"/>
      <c r="N247" s="48"/>
      <c r="O247" s="48"/>
      <c r="P247" s="48"/>
      <c r="Q247" s="48"/>
      <c r="R247" s="48"/>
      <c r="S247" s="48"/>
      <c r="T247" s="48"/>
      <c r="U247" s="48"/>
      <c r="V247" s="48"/>
    </row>
    <row r="248" spans="1:22">
      <c r="A248" s="48"/>
      <c r="B248" s="48"/>
      <c r="C248" s="48"/>
      <c r="D248" s="48"/>
      <c r="E248" s="48"/>
      <c r="F248" s="48"/>
      <c r="G248" s="48"/>
      <c r="H248" s="48"/>
      <c r="I248" s="48"/>
      <c r="J248" s="48"/>
      <c r="K248" s="48"/>
      <c r="L248" s="48"/>
      <c r="M248" s="48"/>
      <c r="N248" s="48"/>
      <c r="O248" s="48"/>
      <c r="P248" s="48"/>
      <c r="Q248" s="48"/>
      <c r="R248" s="48"/>
      <c r="S248" s="48"/>
      <c r="T248" s="48"/>
      <c r="U248" s="48"/>
      <c r="V248" s="48"/>
    </row>
    <row r="249" spans="1:22">
      <c r="A249" s="48"/>
      <c r="B249" s="48"/>
      <c r="C249" s="48"/>
      <c r="D249" s="48"/>
      <c r="E249" s="48"/>
      <c r="F249" s="48"/>
      <c r="G249" s="48"/>
      <c r="H249" s="48"/>
      <c r="I249" s="48"/>
      <c r="J249" s="48"/>
      <c r="K249" s="48"/>
      <c r="L249" s="48"/>
      <c r="M249" s="48"/>
      <c r="N249" s="48"/>
      <c r="O249" s="48"/>
      <c r="P249" s="48"/>
      <c r="Q249" s="48"/>
      <c r="R249" s="48"/>
      <c r="S249" s="48"/>
      <c r="T249" s="48"/>
      <c r="U249" s="48"/>
      <c r="V249" s="48"/>
    </row>
    <row r="250" spans="1:22">
      <c r="A250" s="48"/>
      <c r="B250" s="48"/>
      <c r="C250" s="48"/>
      <c r="D250" s="48"/>
      <c r="E250" s="48"/>
      <c r="F250" s="48"/>
      <c r="G250" s="48"/>
      <c r="H250" s="48"/>
      <c r="I250" s="48"/>
      <c r="J250" s="48"/>
      <c r="K250" s="48"/>
      <c r="L250" s="48"/>
      <c r="M250" s="48"/>
      <c r="N250" s="48"/>
      <c r="O250" s="48"/>
      <c r="P250" s="48"/>
      <c r="Q250" s="48"/>
      <c r="R250" s="48"/>
      <c r="S250" s="48"/>
      <c r="T250" s="48"/>
      <c r="U250" s="48"/>
      <c r="V250" s="48"/>
    </row>
    <row r="251" spans="1:22">
      <c r="A251" s="48"/>
      <c r="B251" s="48"/>
      <c r="C251" s="48"/>
      <c r="D251" s="48"/>
      <c r="E251" s="48"/>
      <c r="F251" s="48"/>
      <c r="G251" s="48"/>
      <c r="H251" s="48"/>
      <c r="I251" s="48"/>
      <c r="J251" s="48"/>
      <c r="K251" s="48"/>
      <c r="L251" s="48"/>
      <c r="M251" s="48"/>
      <c r="N251" s="48"/>
      <c r="O251" s="48"/>
      <c r="P251" s="48"/>
      <c r="Q251" s="48"/>
      <c r="R251" s="48"/>
      <c r="S251" s="48"/>
      <c r="T251" s="48"/>
      <c r="U251" s="48"/>
      <c r="V251" s="48"/>
    </row>
    <row r="252" spans="1:22">
      <c r="A252" s="48"/>
      <c r="B252" s="48"/>
      <c r="C252" s="48"/>
      <c r="D252" s="48"/>
      <c r="E252" s="48"/>
      <c r="F252" s="48"/>
      <c r="G252" s="48"/>
      <c r="H252" s="48"/>
      <c r="I252" s="48"/>
      <c r="J252" s="48"/>
      <c r="K252" s="48"/>
      <c r="L252" s="48"/>
      <c r="M252" s="48"/>
      <c r="N252" s="48"/>
      <c r="O252" s="48"/>
      <c r="P252" s="48"/>
      <c r="Q252" s="48"/>
      <c r="R252" s="48"/>
      <c r="S252" s="48"/>
      <c r="T252" s="48"/>
      <c r="U252" s="48"/>
      <c r="V252" s="48"/>
    </row>
    <row r="253" spans="1:22">
      <c r="A253" s="48"/>
      <c r="B253" s="48"/>
      <c r="C253" s="48"/>
      <c r="D253" s="48"/>
      <c r="E253" s="48"/>
      <c r="F253" s="48"/>
      <c r="G253" s="48"/>
      <c r="H253" s="48"/>
      <c r="I253" s="48"/>
      <c r="J253" s="48"/>
      <c r="K253" s="48"/>
      <c r="L253" s="48"/>
      <c r="M253" s="48"/>
      <c r="N253" s="48"/>
      <c r="O253" s="48"/>
      <c r="P253" s="48"/>
      <c r="Q253" s="48"/>
      <c r="R253" s="48"/>
      <c r="S253" s="48"/>
      <c r="T253" s="48"/>
      <c r="U253" s="48"/>
      <c r="V253" s="48"/>
    </row>
    <row r="254" spans="1:22">
      <c r="A254" s="48"/>
      <c r="B254" s="48"/>
      <c r="C254" s="48"/>
      <c r="D254" s="48"/>
      <c r="E254" s="48"/>
      <c r="F254" s="48"/>
      <c r="G254" s="48"/>
      <c r="H254" s="48"/>
      <c r="I254" s="48"/>
      <c r="J254" s="48"/>
      <c r="K254" s="48"/>
      <c r="L254" s="48"/>
      <c r="M254" s="48"/>
      <c r="N254" s="48"/>
      <c r="O254" s="48"/>
      <c r="P254" s="48"/>
      <c r="Q254" s="48"/>
      <c r="R254" s="48"/>
      <c r="S254" s="48"/>
      <c r="T254" s="48"/>
      <c r="U254" s="48"/>
      <c r="V254" s="48"/>
    </row>
    <row r="255" spans="1:22">
      <c r="A255" s="48"/>
      <c r="B255" s="48"/>
      <c r="C255" s="48"/>
      <c r="D255" s="48"/>
      <c r="E255" s="48"/>
      <c r="F255" s="48"/>
      <c r="G255" s="48"/>
      <c r="H255" s="48"/>
      <c r="I255" s="48"/>
      <c r="J255" s="48"/>
      <c r="K255" s="48"/>
      <c r="L255" s="48"/>
      <c r="M255" s="48"/>
      <c r="N255" s="48"/>
      <c r="O255" s="48"/>
      <c r="P255" s="48"/>
      <c r="Q255" s="48"/>
      <c r="R255" s="48"/>
      <c r="S255" s="48"/>
      <c r="T255" s="48"/>
      <c r="U255" s="48"/>
      <c r="V255" s="48"/>
    </row>
    <row r="256" spans="1:22">
      <c r="A256" s="48"/>
      <c r="B256" s="48"/>
      <c r="C256" s="48"/>
      <c r="D256" s="48"/>
      <c r="E256" s="48"/>
      <c r="F256" s="48"/>
      <c r="G256" s="48"/>
      <c r="H256" s="48"/>
      <c r="I256" s="48"/>
      <c r="J256" s="48"/>
      <c r="K256" s="48"/>
      <c r="L256" s="48"/>
      <c r="M256" s="48"/>
      <c r="N256" s="48"/>
      <c r="O256" s="48"/>
      <c r="P256" s="48"/>
      <c r="Q256" s="48"/>
      <c r="R256" s="48"/>
      <c r="S256" s="48"/>
      <c r="T256" s="48"/>
      <c r="U256" s="48"/>
      <c r="V256" s="48"/>
    </row>
    <row r="257" spans="1:22">
      <c r="A257" s="48"/>
      <c r="B257" s="48"/>
      <c r="C257" s="48"/>
      <c r="D257" s="48"/>
      <c r="E257" s="48"/>
      <c r="F257" s="48"/>
      <c r="G257" s="48"/>
      <c r="H257" s="48"/>
      <c r="I257" s="48"/>
      <c r="J257" s="48"/>
      <c r="K257" s="48"/>
      <c r="L257" s="48"/>
      <c r="M257" s="48"/>
      <c r="N257" s="48"/>
      <c r="O257" s="48"/>
      <c r="P257" s="48"/>
      <c r="Q257" s="48"/>
      <c r="R257" s="48"/>
      <c r="S257" s="48"/>
      <c r="T257" s="48"/>
      <c r="U257" s="48"/>
      <c r="V257" s="48"/>
    </row>
    <row r="258" spans="1:22">
      <c r="A258" s="48"/>
      <c r="B258" s="48"/>
      <c r="C258" s="48"/>
      <c r="D258" s="48"/>
      <c r="E258" s="48"/>
      <c r="F258" s="48"/>
      <c r="G258" s="48"/>
      <c r="H258" s="48"/>
      <c r="I258" s="48"/>
      <c r="J258" s="48"/>
      <c r="K258" s="48"/>
      <c r="L258" s="48"/>
      <c r="M258" s="48"/>
      <c r="N258" s="48"/>
      <c r="O258" s="48"/>
      <c r="P258" s="48"/>
      <c r="Q258" s="48"/>
      <c r="R258" s="48"/>
      <c r="S258" s="48"/>
      <c r="T258" s="48"/>
      <c r="U258" s="48"/>
      <c r="V258" s="48"/>
    </row>
    <row r="259" spans="1:22">
      <c r="A259" s="48"/>
      <c r="B259" s="48"/>
      <c r="C259" s="48"/>
      <c r="D259" s="48"/>
      <c r="E259" s="48"/>
      <c r="F259" s="48"/>
      <c r="G259" s="48"/>
      <c r="H259" s="48"/>
      <c r="I259" s="48"/>
      <c r="J259" s="48"/>
      <c r="K259" s="48"/>
      <c r="L259" s="48"/>
      <c r="M259" s="48"/>
      <c r="N259" s="48"/>
      <c r="O259" s="48"/>
      <c r="P259" s="48"/>
      <c r="Q259" s="48"/>
      <c r="R259" s="48"/>
      <c r="S259" s="48"/>
      <c r="T259" s="48"/>
      <c r="U259" s="48"/>
      <c r="V259" s="48"/>
    </row>
    <row r="260" spans="1:22">
      <c r="A260" s="48"/>
      <c r="B260" s="48"/>
      <c r="C260" s="48"/>
      <c r="D260" s="48"/>
      <c r="E260" s="48"/>
      <c r="F260" s="48"/>
      <c r="G260" s="48"/>
      <c r="H260" s="48"/>
      <c r="I260" s="48"/>
      <c r="J260" s="48"/>
      <c r="K260" s="48"/>
      <c r="L260" s="48"/>
      <c r="M260" s="48"/>
      <c r="N260" s="48"/>
      <c r="O260" s="48"/>
      <c r="P260" s="48"/>
      <c r="Q260" s="48"/>
      <c r="R260" s="48"/>
      <c r="S260" s="48"/>
      <c r="T260" s="48"/>
      <c r="U260" s="48"/>
      <c r="V260" s="48"/>
    </row>
    <row r="261" spans="1:22">
      <c r="A261" s="48"/>
      <c r="B261" s="48"/>
      <c r="C261" s="48"/>
      <c r="D261" s="48"/>
      <c r="E261" s="48"/>
      <c r="F261" s="48"/>
      <c r="G261" s="48"/>
      <c r="H261" s="48"/>
      <c r="I261" s="48"/>
      <c r="J261" s="48"/>
      <c r="K261" s="48"/>
      <c r="L261" s="48"/>
      <c r="M261" s="48"/>
      <c r="N261" s="48"/>
      <c r="O261" s="48"/>
      <c r="P261" s="48"/>
      <c r="Q261" s="48"/>
      <c r="R261" s="48"/>
      <c r="S261" s="48"/>
      <c r="T261" s="48"/>
      <c r="U261" s="48"/>
      <c r="V261" s="48"/>
    </row>
    <row r="262" spans="1:22">
      <c r="A262" s="48"/>
      <c r="B262" s="48"/>
      <c r="C262" s="48"/>
      <c r="D262" s="48"/>
      <c r="E262" s="48"/>
      <c r="F262" s="48"/>
      <c r="G262" s="48"/>
      <c r="H262" s="48"/>
      <c r="I262" s="48"/>
      <c r="J262" s="48"/>
      <c r="K262" s="48"/>
      <c r="L262" s="48"/>
      <c r="M262" s="48"/>
      <c r="N262" s="48"/>
      <c r="O262" s="48"/>
      <c r="P262" s="48"/>
      <c r="Q262" s="48"/>
      <c r="R262" s="48"/>
      <c r="S262" s="48"/>
      <c r="T262" s="48"/>
      <c r="U262" s="48"/>
      <c r="V262" s="48"/>
    </row>
    <row r="263" spans="1:22">
      <c r="A263" s="48"/>
      <c r="B263" s="48"/>
      <c r="C263" s="48"/>
      <c r="D263" s="48"/>
      <c r="E263" s="48"/>
      <c r="F263" s="48"/>
      <c r="G263" s="48"/>
      <c r="H263" s="48"/>
      <c r="I263" s="48"/>
      <c r="J263" s="48"/>
      <c r="K263" s="48"/>
      <c r="L263" s="48"/>
      <c r="M263" s="48"/>
      <c r="N263" s="48"/>
      <c r="O263" s="48"/>
      <c r="P263" s="48"/>
      <c r="Q263" s="48"/>
      <c r="R263" s="48"/>
      <c r="S263" s="48"/>
      <c r="T263" s="48"/>
      <c r="U263" s="48"/>
      <c r="V263" s="48"/>
    </row>
    <row r="264" spans="1:22">
      <c r="A264" s="48"/>
      <c r="B264" s="48"/>
      <c r="C264" s="48"/>
      <c r="D264" s="48"/>
      <c r="E264" s="48"/>
      <c r="F264" s="48"/>
      <c r="G264" s="48"/>
      <c r="H264" s="48"/>
      <c r="I264" s="48"/>
      <c r="J264" s="48"/>
      <c r="K264" s="48"/>
      <c r="L264" s="48"/>
      <c r="M264" s="48"/>
      <c r="N264" s="48"/>
      <c r="O264" s="48"/>
      <c r="P264" s="48"/>
      <c r="Q264" s="48"/>
      <c r="R264" s="48"/>
      <c r="S264" s="48"/>
      <c r="T264" s="48"/>
      <c r="U264" s="48"/>
      <c r="V264" s="48"/>
    </row>
    <row r="265" spans="1:22">
      <c r="A265" s="48"/>
      <c r="B265" s="48"/>
      <c r="C265" s="48"/>
      <c r="D265" s="48"/>
      <c r="E265" s="48"/>
      <c r="F265" s="48"/>
      <c r="G265" s="48"/>
      <c r="H265" s="48"/>
      <c r="I265" s="48"/>
      <c r="J265" s="48"/>
      <c r="K265" s="48"/>
      <c r="L265" s="48"/>
      <c r="M265" s="48"/>
      <c r="N265" s="48"/>
      <c r="O265" s="48"/>
      <c r="P265" s="48"/>
      <c r="Q265" s="48"/>
      <c r="R265" s="48"/>
      <c r="S265" s="48"/>
      <c r="T265" s="48"/>
      <c r="U265" s="48"/>
      <c r="V265" s="48"/>
    </row>
    <row r="266" spans="1:22">
      <c r="A266" s="48"/>
      <c r="B266" s="48"/>
      <c r="C266" s="48"/>
      <c r="D266" s="48"/>
      <c r="E266" s="48"/>
      <c r="F266" s="48"/>
      <c r="G266" s="48"/>
      <c r="H266" s="48"/>
      <c r="I266" s="48"/>
      <c r="J266" s="48"/>
      <c r="K266" s="48"/>
      <c r="L266" s="48"/>
      <c r="M266" s="48"/>
      <c r="N266" s="48"/>
      <c r="O266" s="48"/>
      <c r="P266" s="48"/>
      <c r="Q266" s="48"/>
      <c r="R266" s="48"/>
      <c r="S266" s="48"/>
      <c r="T266" s="48"/>
      <c r="U266" s="48"/>
      <c r="V266" s="48"/>
    </row>
    <row r="267" spans="1:22">
      <c r="A267" s="48"/>
      <c r="B267" s="48"/>
      <c r="C267" s="48"/>
      <c r="D267" s="48"/>
      <c r="E267" s="48"/>
      <c r="F267" s="48"/>
      <c r="G267" s="48"/>
      <c r="H267" s="48"/>
      <c r="I267" s="48"/>
      <c r="J267" s="48"/>
      <c r="K267" s="48"/>
      <c r="L267" s="48"/>
      <c r="M267" s="48"/>
      <c r="N267" s="48"/>
      <c r="O267" s="48"/>
      <c r="P267" s="48"/>
      <c r="Q267" s="48"/>
      <c r="R267" s="48"/>
      <c r="S267" s="48"/>
      <c r="T267" s="48"/>
      <c r="U267" s="48"/>
      <c r="V267" s="48"/>
    </row>
    <row r="268" spans="1:22">
      <c r="A268" s="48"/>
      <c r="B268" s="48"/>
      <c r="C268" s="48"/>
      <c r="D268" s="48"/>
      <c r="E268" s="48"/>
      <c r="F268" s="48"/>
      <c r="G268" s="48"/>
      <c r="H268" s="48"/>
      <c r="I268" s="48"/>
      <c r="J268" s="48"/>
      <c r="K268" s="48"/>
      <c r="L268" s="48"/>
      <c r="M268" s="48"/>
      <c r="N268" s="48"/>
      <c r="O268" s="48"/>
      <c r="P268" s="48"/>
      <c r="Q268" s="48"/>
      <c r="R268" s="48"/>
      <c r="S268" s="48"/>
      <c r="T268" s="48"/>
      <c r="U268" s="48"/>
      <c r="V268" s="48"/>
    </row>
    <row r="269" spans="1:22">
      <c r="A269" s="48"/>
      <c r="B269" s="48"/>
      <c r="C269" s="48"/>
      <c r="D269" s="48"/>
      <c r="E269" s="48"/>
      <c r="F269" s="48"/>
      <c r="G269" s="48"/>
      <c r="H269" s="48"/>
      <c r="I269" s="48"/>
      <c r="J269" s="48"/>
      <c r="K269" s="48"/>
      <c r="L269" s="48"/>
      <c r="M269" s="48"/>
      <c r="N269" s="48"/>
      <c r="O269" s="48"/>
      <c r="P269" s="48"/>
      <c r="Q269" s="48"/>
      <c r="R269" s="48"/>
      <c r="S269" s="48"/>
      <c r="T269" s="48"/>
      <c r="U269" s="48"/>
      <c r="V269" s="48"/>
    </row>
    <row r="270" spans="1:22">
      <c r="A270" s="48"/>
      <c r="B270" s="48"/>
      <c r="C270" s="48"/>
      <c r="D270" s="48"/>
      <c r="E270" s="48"/>
      <c r="F270" s="48"/>
      <c r="G270" s="48"/>
      <c r="H270" s="48"/>
      <c r="I270" s="48"/>
      <c r="J270" s="48"/>
      <c r="K270" s="48"/>
      <c r="L270" s="48"/>
      <c r="M270" s="48"/>
      <c r="N270" s="48"/>
      <c r="O270" s="48"/>
      <c r="P270" s="48"/>
      <c r="Q270" s="48"/>
      <c r="R270" s="48"/>
      <c r="S270" s="48"/>
      <c r="T270" s="48"/>
      <c r="U270" s="48"/>
      <c r="V270" s="48"/>
    </row>
    <row r="271" spans="1:22">
      <c r="A271" s="48"/>
      <c r="B271" s="48"/>
      <c r="C271" s="48"/>
      <c r="D271" s="48"/>
      <c r="E271" s="48"/>
      <c r="F271" s="48"/>
      <c r="G271" s="48"/>
      <c r="H271" s="48"/>
      <c r="I271" s="48"/>
      <c r="J271" s="48"/>
      <c r="K271" s="48"/>
      <c r="L271" s="48"/>
      <c r="M271" s="48"/>
      <c r="N271" s="48"/>
      <c r="O271" s="48"/>
      <c r="P271" s="48"/>
      <c r="Q271" s="48"/>
      <c r="R271" s="48"/>
      <c r="S271" s="48"/>
      <c r="T271" s="48"/>
      <c r="U271" s="48"/>
      <c r="V271" s="48"/>
    </row>
    <row r="272" spans="1:22">
      <c r="A272" s="48"/>
      <c r="B272" s="48"/>
      <c r="C272" s="48"/>
      <c r="D272" s="48"/>
      <c r="E272" s="48"/>
      <c r="F272" s="48"/>
      <c r="G272" s="48"/>
      <c r="H272" s="48"/>
      <c r="I272" s="48"/>
      <c r="J272" s="48"/>
      <c r="K272" s="48"/>
      <c r="L272" s="48"/>
      <c r="M272" s="48"/>
      <c r="N272" s="48"/>
      <c r="O272" s="48"/>
      <c r="P272" s="48"/>
      <c r="Q272" s="48"/>
      <c r="R272" s="48"/>
      <c r="S272" s="48"/>
      <c r="T272" s="48"/>
      <c r="U272" s="48"/>
      <c r="V272" s="48"/>
    </row>
    <row r="273" spans="1:22">
      <c r="A273" s="48"/>
      <c r="B273" s="48"/>
      <c r="C273" s="48"/>
      <c r="D273" s="48"/>
      <c r="E273" s="48"/>
      <c r="F273" s="48"/>
      <c r="G273" s="48"/>
      <c r="H273" s="48"/>
      <c r="I273" s="48"/>
      <c r="J273" s="48"/>
      <c r="K273" s="48"/>
      <c r="L273" s="48"/>
      <c r="M273" s="48"/>
      <c r="N273" s="48"/>
      <c r="O273" s="48"/>
      <c r="P273" s="48"/>
      <c r="Q273" s="48"/>
      <c r="R273" s="48"/>
      <c r="S273" s="48"/>
      <c r="T273" s="48"/>
      <c r="U273" s="48"/>
      <c r="V273" s="48"/>
    </row>
    <row r="274" spans="1:22">
      <c r="A274" s="48"/>
      <c r="B274" s="48"/>
      <c r="C274" s="48"/>
      <c r="D274" s="48"/>
      <c r="E274" s="48"/>
      <c r="F274" s="48"/>
      <c r="G274" s="48"/>
      <c r="H274" s="48"/>
      <c r="I274" s="48"/>
      <c r="J274" s="48"/>
      <c r="K274" s="48"/>
      <c r="L274" s="48"/>
      <c r="M274" s="48"/>
      <c r="N274" s="48"/>
      <c r="O274" s="48"/>
      <c r="P274" s="48"/>
      <c r="Q274" s="48"/>
      <c r="R274" s="48"/>
      <c r="S274" s="48"/>
      <c r="T274" s="48"/>
      <c r="U274" s="48"/>
      <c r="V274" s="48"/>
    </row>
    <row r="275" spans="1:22">
      <c r="A275" s="48"/>
      <c r="B275" s="48"/>
      <c r="C275" s="48"/>
      <c r="D275" s="48"/>
      <c r="E275" s="48"/>
      <c r="F275" s="48"/>
      <c r="G275" s="48"/>
      <c r="H275" s="48"/>
      <c r="I275" s="48"/>
      <c r="J275" s="48"/>
      <c r="K275" s="48"/>
      <c r="L275" s="48"/>
      <c r="M275" s="48"/>
      <c r="N275" s="48"/>
      <c r="O275" s="48"/>
      <c r="P275" s="48"/>
      <c r="Q275" s="48"/>
      <c r="R275" s="48"/>
      <c r="S275" s="48"/>
      <c r="T275" s="48"/>
      <c r="U275" s="48"/>
      <c r="V275" s="48"/>
    </row>
    <row r="276" spans="1:22">
      <c r="A276" s="48"/>
      <c r="B276" s="48"/>
      <c r="C276" s="48"/>
      <c r="D276" s="48"/>
      <c r="E276" s="48"/>
      <c r="F276" s="48"/>
      <c r="G276" s="48"/>
      <c r="H276" s="48"/>
      <c r="I276" s="48"/>
      <c r="J276" s="48"/>
      <c r="K276" s="48"/>
      <c r="L276" s="48"/>
      <c r="M276" s="48"/>
      <c r="N276" s="48"/>
      <c r="O276" s="48"/>
      <c r="P276" s="48"/>
      <c r="Q276" s="48"/>
      <c r="R276" s="48"/>
      <c r="S276" s="48"/>
      <c r="T276" s="48"/>
      <c r="U276" s="48"/>
      <c r="V276" s="48"/>
    </row>
    <row r="277" spans="1:22">
      <c r="A277" s="48"/>
      <c r="B277" s="48"/>
      <c r="C277" s="48"/>
      <c r="D277" s="48"/>
      <c r="E277" s="48"/>
      <c r="F277" s="48"/>
      <c r="G277" s="48"/>
      <c r="H277" s="48"/>
      <c r="I277" s="48"/>
      <c r="J277" s="48"/>
      <c r="K277" s="48"/>
      <c r="L277" s="48"/>
      <c r="M277" s="48"/>
      <c r="N277" s="48"/>
      <c r="O277" s="48"/>
      <c r="P277" s="48"/>
      <c r="Q277" s="48"/>
      <c r="R277" s="48"/>
      <c r="S277" s="48"/>
      <c r="T277" s="48"/>
      <c r="U277" s="48"/>
      <c r="V277" s="48"/>
    </row>
    <row r="278" spans="1:22">
      <c r="A278" s="48"/>
      <c r="B278" s="48"/>
      <c r="C278" s="48"/>
      <c r="D278" s="48"/>
      <c r="E278" s="48"/>
      <c r="F278" s="48"/>
      <c r="G278" s="48"/>
      <c r="H278" s="48"/>
      <c r="I278" s="48"/>
      <c r="J278" s="48"/>
      <c r="K278" s="48"/>
      <c r="L278" s="48"/>
      <c r="M278" s="48"/>
      <c r="N278" s="48"/>
      <c r="O278" s="48"/>
      <c r="P278" s="48"/>
      <c r="Q278" s="48"/>
      <c r="R278" s="48"/>
      <c r="S278" s="48"/>
      <c r="T278" s="48"/>
      <c r="U278" s="48"/>
      <c r="V278" s="48"/>
    </row>
    <row r="279" spans="1:22">
      <c r="A279" s="48"/>
      <c r="B279" s="48"/>
      <c r="C279" s="48"/>
      <c r="D279" s="48"/>
      <c r="E279" s="48"/>
      <c r="F279" s="48"/>
      <c r="G279" s="48"/>
      <c r="H279" s="48"/>
      <c r="I279" s="48"/>
      <c r="J279" s="48"/>
      <c r="K279" s="48"/>
      <c r="L279" s="48"/>
      <c r="M279" s="48"/>
      <c r="N279" s="48"/>
      <c r="O279" s="48"/>
      <c r="P279" s="48"/>
      <c r="Q279" s="48"/>
      <c r="R279" s="48"/>
      <c r="S279" s="48"/>
      <c r="T279" s="48"/>
      <c r="U279" s="48"/>
      <c r="V279" s="48"/>
    </row>
    <row r="280" spans="1:22">
      <c r="A280" s="48"/>
      <c r="B280" s="48"/>
      <c r="C280" s="48"/>
      <c r="D280" s="48"/>
      <c r="E280" s="48"/>
      <c r="F280" s="48"/>
      <c r="G280" s="48"/>
      <c r="H280" s="48"/>
      <c r="I280" s="48"/>
      <c r="J280" s="48"/>
      <c r="K280" s="48"/>
      <c r="L280" s="48"/>
      <c r="M280" s="48"/>
      <c r="N280" s="48"/>
      <c r="O280" s="48"/>
      <c r="P280" s="48"/>
      <c r="Q280" s="48"/>
      <c r="R280" s="48"/>
      <c r="S280" s="48"/>
      <c r="T280" s="48"/>
      <c r="U280" s="48"/>
      <c r="V280" s="48"/>
    </row>
    <row r="281" spans="1:22">
      <c r="A281" s="48"/>
      <c r="B281" s="48"/>
      <c r="C281" s="48"/>
      <c r="D281" s="48"/>
      <c r="E281" s="48"/>
      <c r="F281" s="48"/>
      <c r="G281" s="48"/>
      <c r="H281" s="48"/>
      <c r="I281" s="48"/>
      <c r="J281" s="48"/>
      <c r="K281" s="48"/>
      <c r="L281" s="48"/>
      <c r="M281" s="48"/>
      <c r="N281" s="48"/>
      <c r="O281" s="48"/>
      <c r="P281" s="48"/>
      <c r="Q281" s="48"/>
      <c r="R281" s="48"/>
      <c r="S281" s="48"/>
      <c r="T281" s="48"/>
      <c r="U281" s="48"/>
      <c r="V281" s="48"/>
    </row>
    <row r="282" spans="1:22">
      <c r="A282" s="48"/>
      <c r="B282" s="48"/>
      <c r="C282" s="48"/>
      <c r="D282" s="48"/>
      <c r="E282" s="48"/>
      <c r="F282" s="48"/>
      <c r="G282" s="48"/>
      <c r="H282" s="48"/>
      <c r="I282" s="48"/>
      <c r="J282" s="48"/>
      <c r="K282" s="48"/>
      <c r="L282" s="48"/>
      <c r="M282" s="48"/>
      <c r="N282" s="48"/>
      <c r="O282" s="48"/>
      <c r="P282" s="48"/>
      <c r="Q282" s="48"/>
      <c r="R282" s="48"/>
      <c r="S282" s="48"/>
      <c r="T282" s="48"/>
      <c r="U282" s="48"/>
      <c r="V282" s="48"/>
    </row>
    <row r="283" spans="1:22">
      <c r="A283" s="48"/>
      <c r="B283" s="48"/>
      <c r="C283" s="48"/>
      <c r="D283" s="48"/>
      <c r="E283" s="48"/>
      <c r="F283" s="48"/>
      <c r="G283" s="48"/>
      <c r="H283" s="48"/>
      <c r="I283" s="48"/>
      <c r="J283" s="48"/>
      <c r="K283" s="48"/>
      <c r="L283" s="48"/>
      <c r="M283" s="48"/>
      <c r="N283" s="48"/>
      <c r="O283" s="48"/>
      <c r="P283" s="48"/>
      <c r="Q283" s="48"/>
      <c r="R283" s="48"/>
      <c r="S283" s="48"/>
      <c r="T283" s="48"/>
      <c r="U283" s="48"/>
      <c r="V283" s="48"/>
    </row>
    <row r="284" spans="1:22">
      <c r="A284" s="48"/>
      <c r="B284" s="48"/>
      <c r="C284" s="48"/>
      <c r="D284" s="48"/>
      <c r="E284" s="48"/>
      <c r="F284" s="48"/>
      <c r="G284" s="48"/>
      <c r="H284" s="48"/>
      <c r="I284" s="48"/>
      <c r="J284" s="48"/>
      <c r="K284" s="48"/>
      <c r="L284" s="48"/>
      <c r="M284" s="48"/>
      <c r="N284" s="48"/>
      <c r="O284" s="48"/>
      <c r="P284" s="48"/>
      <c r="Q284" s="48"/>
      <c r="R284" s="48"/>
      <c r="S284" s="48"/>
      <c r="T284" s="48"/>
      <c r="U284" s="48"/>
      <c r="V284" s="48"/>
    </row>
    <row r="285" spans="1:22">
      <c r="A285" s="48"/>
      <c r="B285" s="48"/>
      <c r="C285" s="48"/>
      <c r="D285" s="48"/>
      <c r="E285" s="48"/>
      <c r="F285" s="48"/>
      <c r="G285" s="48"/>
      <c r="H285" s="48"/>
      <c r="I285" s="48"/>
      <c r="J285" s="48"/>
      <c r="K285" s="48"/>
      <c r="L285" s="48"/>
      <c r="M285" s="48"/>
      <c r="N285" s="48"/>
      <c r="O285" s="48"/>
      <c r="P285" s="48"/>
      <c r="Q285" s="48"/>
      <c r="R285" s="48"/>
      <c r="S285" s="48"/>
      <c r="T285" s="48"/>
      <c r="U285" s="48"/>
      <c r="V285" s="48"/>
    </row>
    <row r="286" spans="1:22">
      <c r="A286" s="48"/>
      <c r="B286" s="48"/>
      <c r="C286" s="48"/>
      <c r="D286" s="48"/>
      <c r="E286" s="48"/>
      <c r="F286" s="48"/>
      <c r="G286" s="48"/>
      <c r="H286" s="48"/>
      <c r="I286" s="48"/>
      <c r="J286" s="48"/>
      <c r="K286" s="48"/>
      <c r="L286" s="48"/>
      <c r="M286" s="48"/>
      <c r="N286" s="48"/>
      <c r="O286" s="48"/>
      <c r="P286" s="48"/>
      <c r="Q286" s="48"/>
      <c r="R286" s="48"/>
      <c r="S286" s="48"/>
      <c r="T286" s="48"/>
      <c r="U286" s="48"/>
      <c r="V286" s="48"/>
    </row>
    <row r="287" spans="1:22">
      <c r="A287" s="48"/>
      <c r="B287" s="48"/>
      <c r="C287" s="48"/>
      <c r="D287" s="48"/>
      <c r="E287" s="48"/>
      <c r="F287" s="48"/>
      <c r="G287" s="48"/>
      <c r="H287" s="48"/>
      <c r="I287" s="48"/>
      <c r="J287" s="48"/>
      <c r="K287" s="48"/>
      <c r="L287" s="48"/>
      <c r="M287" s="48"/>
      <c r="N287" s="48"/>
      <c r="O287" s="48"/>
      <c r="P287" s="48"/>
      <c r="Q287" s="48"/>
      <c r="R287" s="48"/>
      <c r="S287" s="48"/>
      <c r="T287" s="48"/>
      <c r="U287" s="48"/>
      <c r="V287" s="48"/>
    </row>
    <row r="288" spans="1:22">
      <c r="A288" s="48"/>
      <c r="B288" s="48"/>
      <c r="C288" s="48"/>
      <c r="D288" s="48"/>
      <c r="E288" s="48"/>
      <c r="F288" s="48"/>
      <c r="G288" s="48"/>
      <c r="H288" s="48"/>
      <c r="I288" s="48"/>
      <c r="J288" s="48"/>
      <c r="K288" s="48"/>
      <c r="L288" s="48"/>
      <c r="M288" s="48"/>
      <c r="N288" s="48"/>
      <c r="O288" s="48"/>
      <c r="P288" s="48"/>
      <c r="Q288" s="48"/>
      <c r="R288" s="48"/>
      <c r="S288" s="48"/>
      <c r="T288" s="48"/>
      <c r="U288" s="48"/>
      <c r="V288" s="48"/>
    </row>
    <row r="289" spans="1:22">
      <c r="A289" s="48"/>
      <c r="B289" s="48"/>
      <c r="C289" s="48"/>
      <c r="D289" s="48"/>
      <c r="E289" s="48"/>
      <c r="F289" s="48"/>
      <c r="G289" s="48"/>
      <c r="H289" s="48"/>
      <c r="I289" s="48"/>
      <c r="J289" s="48"/>
      <c r="K289" s="48"/>
      <c r="L289" s="48"/>
      <c r="M289" s="48"/>
      <c r="N289" s="48"/>
      <c r="O289" s="48"/>
      <c r="P289" s="48"/>
      <c r="Q289" s="48"/>
      <c r="R289" s="48"/>
      <c r="S289" s="48"/>
      <c r="T289" s="48"/>
      <c r="U289" s="48"/>
      <c r="V289" s="48"/>
    </row>
    <row r="290" spans="1:22">
      <c r="A290" s="48"/>
      <c r="B290" s="48"/>
      <c r="C290" s="48"/>
      <c r="D290" s="48"/>
      <c r="E290" s="48"/>
      <c r="F290" s="48"/>
      <c r="G290" s="48"/>
      <c r="H290" s="48"/>
      <c r="I290" s="48"/>
      <c r="J290" s="48"/>
      <c r="K290" s="48"/>
      <c r="L290" s="48"/>
      <c r="M290" s="48"/>
      <c r="N290" s="48"/>
      <c r="O290" s="48"/>
      <c r="P290" s="48"/>
      <c r="Q290" s="48"/>
      <c r="R290" s="48"/>
      <c r="S290" s="48"/>
      <c r="T290" s="48"/>
      <c r="U290" s="48"/>
      <c r="V290" s="48"/>
    </row>
    <row r="291" spans="1:22">
      <c r="A291" s="48"/>
      <c r="B291" s="48"/>
      <c r="C291" s="48"/>
      <c r="D291" s="48"/>
      <c r="E291" s="48"/>
      <c r="F291" s="48"/>
      <c r="G291" s="48"/>
      <c r="H291" s="48"/>
      <c r="I291" s="48"/>
      <c r="J291" s="48"/>
      <c r="K291" s="48"/>
      <c r="L291" s="48"/>
      <c r="M291" s="48"/>
      <c r="N291" s="48"/>
      <c r="O291" s="48"/>
      <c r="P291" s="48"/>
      <c r="Q291" s="48"/>
      <c r="R291" s="48"/>
      <c r="S291" s="48"/>
      <c r="T291" s="48"/>
      <c r="U291" s="48"/>
      <c r="V291" s="48"/>
    </row>
    <row r="292" spans="1:22">
      <c r="A292" s="48"/>
      <c r="B292" s="48"/>
      <c r="C292" s="48"/>
      <c r="D292" s="48"/>
      <c r="E292" s="48"/>
      <c r="F292" s="48"/>
      <c r="G292" s="48"/>
      <c r="H292" s="48"/>
      <c r="I292" s="48"/>
      <c r="J292" s="48"/>
      <c r="K292" s="48"/>
      <c r="L292" s="48"/>
      <c r="M292" s="48"/>
      <c r="N292" s="48"/>
      <c r="O292" s="48"/>
      <c r="P292" s="48"/>
      <c r="Q292" s="48"/>
      <c r="R292" s="48"/>
      <c r="S292" s="48"/>
      <c r="T292" s="48"/>
      <c r="U292" s="48"/>
      <c r="V292" s="48"/>
    </row>
    <row r="293" spans="1:22">
      <c r="A293" s="48"/>
      <c r="B293" s="48"/>
      <c r="C293" s="48"/>
      <c r="D293" s="48"/>
      <c r="E293" s="48"/>
      <c r="F293" s="48"/>
      <c r="G293" s="48"/>
      <c r="H293" s="48"/>
      <c r="I293" s="48"/>
      <c r="J293" s="48"/>
      <c r="K293" s="48"/>
      <c r="L293" s="48"/>
      <c r="M293" s="48"/>
      <c r="N293" s="48"/>
      <c r="O293" s="48"/>
      <c r="P293" s="48"/>
      <c r="Q293" s="48"/>
      <c r="R293" s="48"/>
      <c r="S293" s="48"/>
      <c r="T293" s="48"/>
      <c r="U293" s="48"/>
      <c r="V293" s="48"/>
    </row>
    <row r="294" spans="1:22">
      <c r="A294" s="48"/>
      <c r="B294" s="48"/>
      <c r="C294" s="48"/>
      <c r="D294" s="48"/>
      <c r="E294" s="48"/>
      <c r="F294" s="48"/>
      <c r="G294" s="48"/>
      <c r="H294" s="48"/>
      <c r="I294" s="48"/>
      <c r="J294" s="48"/>
      <c r="K294" s="48"/>
      <c r="L294" s="48"/>
      <c r="M294" s="48"/>
      <c r="N294" s="48"/>
      <c r="O294" s="48"/>
      <c r="P294" s="48"/>
      <c r="Q294" s="48"/>
      <c r="R294" s="48"/>
      <c r="S294" s="48"/>
      <c r="T294" s="48"/>
      <c r="U294" s="48"/>
      <c r="V294" s="48"/>
    </row>
    <row r="295" spans="1:22">
      <c r="A295" s="48"/>
      <c r="B295" s="48"/>
      <c r="C295" s="48"/>
      <c r="D295" s="48"/>
      <c r="E295" s="48"/>
      <c r="F295" s="48"/>
      <c r="G295" s="48"/>
      <c r="H295" s="48"/>
      <c r="I295" s="48"/>
      <c r="J295" s="48"/>
      <c r="K295" s="48"/>
      <c r="L295" s="48"/>
      <c r="M295" s="48"/>
      <c r="N295" s="48"/>
      <c r="O295" s="48"/>
      <c r="P295" s="48"/>
      <c r="Q295" s="48"/>
      <c r="R295" s="48"/>
      <c r="S295" s="48"/>
      <c r="T295" s="48"/>
      <c r="U295" s="48"/>
      <c r="V295" s="48"/>
    </row>
    <row r="296" spans="1:22">
      <c r="A296" s="48"/>
      <c r="B296" s="48"/>
      <c r="C296" s="48"/>
      <c r="D296" s="48"/>
      <c r="E296" s="48"/>
      <c r="F296" s="48"/>
      <c r="G296" s="48"/>
      <c r="H296" s="48"/>
      <c r="I296" s="48"/>
      <c r="J296" s="48"/>
      <c r="K296" s="48"/>
      <c r="L296" s="48"/>
      <c r="M296" s="48"/>
      <c r="N296" s="48"/>
      <c r="O296" s="48"/>
      <c r="P296" s="48"/>
      <c r="Q296" s="48"/>
      <c r="R296" s="48"/>
      <c r="S296" s="48"/>
      <c r="T296" s="48"/>
      <c r="U296" s="48"/>
      <c r="V296" s="48"/>
    </row>
    <row r="297" spans="1:22">
      <c r="A297" s="48"/>
      <c r="B297" s="48"/>
      <c r="C297" s="48"/>
      <c r="D297" s="48"/>
      <c r="E297" s="48"/>
      <c r="F297" s="48"/>
      <c r="G297" s="48"/>
      <c r="H297" s="48"/>
      <c r="I297" s="48"/>
      <c r="J297" s="48"/>
      <c r="K297" s="48"/>
      <c r="L297" s="48"/>
      <c r="M297" s="48"/>
      <c r="N297" s="48"/>
      <c r="O297" s="48"/>
      <c r="P297" s="48"/>
      <c r="Q297" s="48"/>
      <c r="R297" s="48"/>
      <c r="S297" s="48"/>
      <c r="T297" s="48"/>
      <c r="U297" s="48"/>
      <c r="V297" s="48"/>
    </row>
    <row r="298" spans="1:22">
      <c r="A298" s="48"/>
      <c r="B298" s="48"/>
      <c r="C298" s="48"/>
      <c r="D298" s="48"/>
      <c r="E298" s="48"/>
      <c r="F298" s="48"/>
      <c r="G298" s="48"/>
      <c r="H298" s="48"/>
      <c r="I298" s="48"/>
      <c r="J298" s="48"/>
      <c r="K298" s="48"/>
      <c r="L298" s="48"/>
      <c r="M298" s="48"/>
      <c r="N298" s="48"/>
      <c r="O298" s="48"/>
      <c r="P298" s="48"/>
      <c r="Q298" s="48"/>
      <c r="R298" s="48"/>
      <c r="S298" s="48"/>
      <c r="T298" s="48"/>
      <c r="U298" s="48"/>
      <c r="V298" s="48"/>
    </row>
    <row r="299" spans="1:22">
      <c r="A299" s="48"/>
      <c r="B299" s="48"/>
      <c r="C299" s="48"/>
      <c r="D299" s="48"/>
      <c r="E299" s="48"/>
      <c r="F299" s="48"/>
      <c r="G299" s="48"/>
      <c r="H299" s="48"/>
      <c r="I299" s="48"/>
      <c r="J299" s="48"/>
      <c r="K299" s="48"/>
      <c r="L299" s="48"/>
      <c r="M299" s="48"/>
      <c r="N299" s="48"/>
      <c r="O299" s="48"/>
      <c r="P299" s="48"/>
      <c r="Q299" s="48"/>
      <c r="R299" s="48"/>
      <c r="S299" s="48"/>
      <c r="T299" s="48"/>
      <c r="U299" s="48"/>
      <c r="V299" s="48"/>
    </row>
    <row r="300" spans="1:22">
      <c r="A300" s="48"/>
      <c r="B300" s="48"/>
      <c r="C300" s="48"/>
      <c r="D300" s="48"/>
      <c r="E300" s="48"/>
      <c r="F300" s="48"/>
      <c r="G300" s="48"/>
      <c r="H300" s="48"/>
      <c r="I300" s="48"/>
      <c r="J300" s="48"/>
      <c r="K300" s="48"/>
      <c r="L300" s="48"/>
      <c r="M300" s="48"/>
      <c r="N300" s="48"/>
      <c r="O300" s="48"/>
      <c r="P300" s="48"/>
      <c r="Q300" s="48"/>
      <c r="R300" s="48"/>
      <c r="S300" s="48"/>
      <c r="T300" s="48"/>
      <c r="U300" s="48"/>
      <c r="V300" s="48"/>
    </row>
    <row r="301" spans="1:22">
      <c r="A301" s="48"/>
      <c r="B301" s="48"/>
      <c r="C301" s="48"/>
      <c r="D301" s="48"/>
      <c r="E301" s="48"/>
      <c r="F301" s="48"/>
      <c r="G301" s="48"/>
      <c r="H301" s="48"/>
      <c r="I301" s="48"/>
      <c r="J301" s="48"/>
      <c r="K301" s="48"/>
      <c r="L301" s="48"/>
      <c r="M301" s="48"/>
      <c r="N301" s="48"/>
      <c r="O301" s="48"/>
      <c r="P301" s="48"/>
      <c r="Q301" s="48"/>
      <c r="R301" s="48"/>
      <c r="S301" s="48"/>
      <c r="T301" s="48"/>
      <c r="U301" s="48"/>
      <c r="V301" s="48"/>
    </row>
    <row r="302" spans="1:22">
      <c r="A302" s="48"/>
      <c r="B302" s="48"/>
      <c r="C302" s="48"/>
      <c r="D302" s="48"/>
      <c r="E302" s="48"/>
      <c r="F302" s="48"/>
      <c r="G302" s="48"/>
      <c r="H302" s="48"/>
      <c r="I302" s="48"/>
      <c r="J302" s="48"/>
      <c r="K302" s="48"/>
      <c r="L302" s="48"/>
      <c r="M302" s="48"/>
      <c r="N302" s="48"/>
      <c r="O302" s="48"/>
      <c r="P302" s="48"/>
      <c r="Q302" s="48"/>
      <c r="R302" s="48"/>
      <c r="S302" s="48"/>
      <c r="T302" s="48"/>
      <c r="U302" s="48"/>
      <c r="V302" s="48"/>
    </row>
    <row r="303" spans="1:22">
      <c r="A303" s="48"/>
      <c r="B303" s="48"/>
      <c r="C303" s="48"/>
      <c r="D303" s="48"/>
      <c r="E303" s="48"/>
      <c r="F303" s="48"/>
      <c r="G303" s="48"/>
      <c r="H303" s="48"/>
      <c r="I303" s="48"/>
      <c r="J303" s="48"/>
      <c r="K303" s="48"/>
      <c r="L303" s="48"/>
      <c r="M303" s="48"/>
      <c r="N303" s="48"/>
      <c r="O303" s="48"/>
      <c r="P303" s="48"/>
      <c r="Q303" s="48"/>
      <c r="R303" s="48"/>
      <c r="S303" s="48"/>
      <c r="T303" s="48"/>
      <c r="U303" s="48"/>
      <c r="V303" s="48"/>
    </row>
    <row r="304" spans="1:22">
      <c r="A304" s="48"/>
      <c r="B304" s="48"/>
      <c r="C304" s="48"/>
      <c r="D304" s="48"/>
      <c r="E304" s="48"/>
      <c r="F304" s="48"/>
      <c r="G304" s="48"/>
      <c r="H304" s="48"/>
      <c r="I304" s="48"/>
      <c r="J304" s="48"/>
      <c r="K304" s="48"/>
      <c r="L304" s="48"/>
      <c r="M304" s="48"/>
      <c r="N304" s="48"/>
      <c r="O304" s="48"/>
      <c r="P304" s="48"/>
      <c r="Q304" s="48"/>
      <c r="R304" s="48"/>
      <c r="S304" s="48"/>
      <c r="T304" s="48"/>
      <c r="U304" s="48"/>
      <c r="V304" s="48"/>
    </row>
    <row r="305" spans="1:22">
      <c r="A305" s="48"/>
      <c r="B305" s="48"/>
      <c r="C305" s="48"/>
      <c r="D305" s="48"/>
      <c r="E305" s="48"/>
      <c r="F305" s="48"/>
      <c r="G305" s="48"/>
      <c r="H305" s="48"/>
      <c r="I305" s="48"/>
      <c r="J305" s="48"/>
      <c r="K305" s="48"/>
      <c r="L305" s="48"/>
      <c r="M305" s="48"/>
      <c r="N305" s="48"/>
      <c r="O305" s="48"/>
      <c r="P305" s="48"/>
      <c r="Q305" s="48"/>
      <c r="R305" s="48"/>
      <c r="S305" s="48"/>
      <c r="T305" s="48"/>
      <c r="U305" s="48"/>
      <c r="V305" s="48"/>
    </row>
    <row r="306" spans="1:22">
      <c r="A306" s="48"/>
      <c r="B306" s="48"/>
      <c r="C306" s="48"/>
      <c r="D306" s="48"/>
      <c r="E306" s="48"/>
      <c r="F306" s="48"/>
      <c r="G306" s="48"/>
      <c r="H306" s="48"/>
      <c r="I306" s="48"/>
      <c r="J306" s="48"/>
      <c r="K306" s="48"/>
      <c r="L306" s="48"/>
      <c r="M306" s="48"/>
      <c r="N306" s="48"/>
      <c r="O306" s="48"/>
      <c r="P306" s="48"/>
      <c r="Q306" s="48"/>
      <c r="R306" s="48"/>
      <c r="S306" s="48"/>
      <c r="T306" s="48"/>
      <c r="U306" s="48"/>
      <c r="V306" s="48"/>
    </row>
    <row r="307" spans="1:22">
      <c r="A307" s="48"/>
      <c r="B307" s="48"/>
      <c r="C307" s="48"/>
      <c r="D307" s="48"/>
      <c r="E307" s="48"/>
      <c r="F307" s="48"/>
      <c r="G307" s="48"/>
      <c r="H307" s="48"/>
      <c r="I307" s="48"/>
      <c r="J307" s="48"/>
      <c r="K307" s="48"/>
      <c r="L307" s="48"/>
      <c r="M307" s="48"/>
      <c r="N307" s="48"/>
      <c r="O307" s="48"/>
      <c r="P307" s="48"/>
      <c r="Q307" s="48"/>
      <c r="R307" s="48"/>
      <c r="S307" s="48"/>
      <c r="T307" s="48"/>
      <c r="U307" s="48"/>
      <c r="V307" s="48"/>
    </row>
    <row r="308" spans="1:22">
      <c r="A308" s="48"/>
      <c r="B308" s="48"/>
      <c r="C308" s="48"/>
      <c r="D308" s="48"/>
      <c r="E308" s="48"/>
      <c r="F308" s="48"/>
      <c r="G308" s="48"/>
      <c r="H308" s="48"/>
      <c r="I308" s="48"/>
      <c r="J308" s="48"/>
      <c r="K308" s="48"/>
      <c r="L308" s="48"/>
      <c r="M308" s="48"/>
      <c r="N308" s="48"/>
      <c r="O308" s="48"/>
      <c r="P308" s="48"/>
      <c r="Q308" s="48"/>
      <c r="R308" s="48"/>
      <c r="S308" s="48"/>
      <c r="T308" s="48"/>
      <c r="U308" s="48"/>
      <c r="V308" s="48"/>
    </row>
    <row r="309" spans="1:22">
      <c r="A309" s="48"/>
      <c r="B309" s="48"/>
      <c r="C309" s="48"/>
      <c r="D309" s="48"/>
      <c r="E309" s="48"/>
      <c r="F309" s="48"/>
      <c r="G309" s="48"/>
      <c r="H309" s="48"/>
      <c r="I309" s="48"/>
      <c r="J309" s="48"/>
      <c r="K309" s="48"/>
      <c r="L309" s="48"/>
      <c r="M309" s="48"/>
      <c r="N309" s="48"/>
      <c r="O309" s="48"/>
      <c r="P309" s="48"/>
      <c r="Q309" s="48"/>
      <c r="R309" s="48"/>
      <c r="S309" s="48"/>
      <c r="T309" s="48"/>
      <c r="U309" s="48"/>
      <c r="V309" s="48"/>
    </row>
    <row r="310" spans="1:22">
      <c r="A310" s="48"/>
      <c r="B310" s="48"/>
      <c r="C310" s="48"/>
      <c r="D310" s="48"/>
      <c r="E310" s="48"/>
      <c r="F310" s="48"/>
      <c r="G310" s="48"/>
      <c r="H310" s="48"/>
      <c r="I310" s="48"/>
      <c r="J310" s="48"/>
      <c r="K310" s="48"/>
      <c r="L310" s="48"/>
      <c r="M310" s="48"/>
      <c r="N310" s="48"/>
      <c r="O310" s="48"/>
      <c r="P310" s="48"/>
      <c r="Q310" s="48"/>
      <c r="R310" s="48"/>
      <c r="S310" s="48"/>
      <c r="T310" s="48"/>
      <c r="U310" s="48"/>
      <c r="V310" s="48"/>
    </row>
    <row r="311" spans="1:22">
      <c r="A311" s="48"/>
      <c r="B311" s="48"/>
      <c r="C311" s="48"/>
      <c r="D311" s="48"/>
      <c r="E311" s="48"/>
      <c r="F311" s="48"/>
      <c r="G311" s="48"/>
      <c r="H311" s="48"/>
      <c r="I311" s="48"/>
      <c r="J311" s="48"/>
      <c r="K311" s="48"/>
      <c r="L311" s="48"/>
      <c r="M311" s="48"/>
      <c r="N311" s="48"/>
      <c r="O311" s="48"/>
      <c r="P311" s="48"/>
      <c r="Q311" s="48"/>
      <c r="R311" s="48"/>
      <c r="S311" s="48"/>
      <c r="T311" s="48"/>
      <c r="U311" s="48"/>
      <c r="V311" s="48"/>
    </row>
    <row r="312" spans="1:22">
      <c r="A312" s="48"/>
      <c r="B312" s="48"/>
      <c r="C312" s="48"/>
      <c r="D312" s="48"/>
      <c r="E312" s="48"/>
      <c r="F312" s="48"/>
      <c r="G312" s="48"/>
      <c r="H312" s="48"/>
      <c r="I312" s="48"/>
      <c r="J312" s="48"/>
      <c r="K312" s="48"/>
      <c r="L312" s="48"/>
      <c r="M312" s="48"/>
      <c r="N312" s="48"/>
      <c r="O312" s="48"/>
      <c r="P312" s="48"/>
      <c r="Q312" s="48"/>
      <c r="R312" s="48"/>
      <c r="S312" s="48"/>
      <c r="T312" s="48"/>
      <c r="U312" s="48"/>
      <c r="V312" s="48"/>
    </row>
    <row r="313" spans="1:22">
      <c r="A313" s="48"/>
      <c r="B313" s="48"/>
      <c r="C313" s="48"/>
      <c r="D313" s="48"/>
      <c r="E313" s="48"/>
      <c r="F313" s="48"/>
      <c r="G313" s="48"/>
      <c r="H313" s="48"/>
      <c r="I313" s="48"/>
      <c r="J313" s="48"/>
      <c r="K313" s="48"/>
      <c r="L313" s="48"/>
      <c r="M313" s="48"/>
      <c r="N313" s="48"/>
      <c r="O313" s="48"/>
      <c r="P313" s="48"/>
      <c r="Q313" s="48"/>
      <c r="R313" s="48"/>
      <c r="S313" s="48"/>
      <c r="T313" s="48"/>
      <c r="U313" s="48"/>
      <c r="V313" s="48"/>
    </row>
    <row r="314" spans="1:22">
      <c r="A314" s="48"/>
      <c r="B314" s="48"/>
      <c r="C314" s="48"/>
      <c r="D314" s="48"/>
      <c r="E314" s="48"/>
      <c r="F314" s="48"/>
      <c r="G314" s="48"/>
      <c r="H314" s="48"/>
      <c r="I314" s="48"/>
      <c r="J314" s="48"/>
      <c r="K314" s="48"/>
      <c r="L314" s="48"/>
      <c r="M314" s="48"/>
      <c r="N314" s="48"/>
      <c r="O314" s="48"/>
      <c r="P314" s="48"/>
      <c r="Q314" s="48"/>
      <c r="R314" s="48"/>
      <c r="S314" s="48"/>
      <c r="T314" s="48"/>
      <c r="U314" s="48"/>
      <c r="V314" s="48"/>
    </row>
    <row r="315" spans="1:22">
      <c r="A315" s="48"/>
      <c r="B315" s="48"/>
      <c r="C315" s="48"/>
      <c r="D315" s="48"/>
      <c r="E315" s="48"/>
      <c r="F315" s="48"/>
      <c r="G315" s="48"/>
      <c r="H315" s="48"/>
      <c r="I315" s="48"/>
      <c r="J315" s="48"/>
      <c r="K315" s="48"/>
      <c r="L315" s="48"/>
      <c r="M315" s="48"/>
      <c r="N315" s="48"/>
      <c r="O315" s="48"/>
      <c r="P315" s="48"/>
      <c r="Q315" s="48"/>
      <c r="R315" s="48"/>
      <c r="S315" s="48"/>
      <c r="T315" s="48"/>
      <c r="U315" s="48"/>
      <c r="V315" s="48"/>
    </row>
    <row r="316" spans="1:22">
      <c r="A316" s="48"/>
      <c r="B316" s="48"/>
      <c r="C316" s="48"/>
      <c r="D316" s="48"/>
      <c r="E316" s="48"/>
      <c r="F316" s="48"/>
      <c r="G316" s="48"/>
      <c r="H316" s="48"/>
      <c r="I316" s="48"/>
      <c r="J316" s="48"/>
      <c r="K316" s="48"/>
      <c r="L316" s="48"/>
      <c r="M316" s="48"/>
      <c r="N316" s="48"/>
      <c r="O316" s="48"/>
      <c r="P316" s="48"/>
      <c r="Q316" s="48"/>
      <c r="R316" s="48"/>
      <c r="S316" s="48"/>
      <c r="T316" s="48"/>
      <c r="U316" s="48"/>
      <c r="V316" s="48"/>
    </row>
    <row r="317" spans="1:22">
      <c r="A317" s="48"/>
      <c r="B317" s="48"/>
      <c r="C317" s="48"/>
      <c r="D317" s="48"/>
      <c r="E317" s="48"/>
      <c r="F317" s="48"/>
      <c r="G317" s="48"/>
      <c r="H317" s="48"/>
      <c r="I317" s="48"/>
      <c r="J317" s="48"/>
      <c r="K317" s="48"/>
      <c r="L317" s="48"/>
      <c r="M317" s="48"/>
      <c r="N317" s="48"/>
      <c r="O317" s="48"/>
      <c r="P317" s="48"/>
      <c r="Q317" s="48"/>
      <c r="R317" s="48"/>
      <c r="S317" s="48"/>
      <c r="T317" s="48"/>
      <c r="U317" s="48"/>
      <c r="V317" s="48"/>
    </row>
    <row r="318" spans="1:22">
      <c r="A318" s="48"/>
      <c r="B318" s="48"/>
      <c r="C318" s="48"/>
      <c r="D318" s="48"/>
      <c r="E318" s="48"/>
      <c r="F318" s="48"/>
      <c r="G318" s="48"/>
      <c r="H318" s="48"/>
      <c r="I318" s="48"/>
      <c r="J318" s="48"/>
      <c r="K318" s="48"/>
      <c r="L318" s="48"/>
      <c r="M318" s="48"/>
      <c r="N318" s="48"/>
      <c r="O318" s="48"/>
      <c r="P318" s="48"/>
      <c r="Q318" s="48"/>
      <c r="R318" s="48"/>
      <c r="S318" s="48"/>
      <c r="T318" s="48"/>
      <c r="U318" s="48"/>
      <c r="V318" s="48"/>
    </row>
    <row r="319" spans="1:22">
      <c r="A319" s="48"/>
      <c r="B319" s="48"/>
      <c r="C319" s="48"/>
      <c r="D319" s="48"/>
      <c r="E319" s="48"/>
      <c r="F319" s="48"/>
      <c r="G319" s="48"/>
      <c r="H319" s="48"/>
      <c r="I319" s="48"/>
      <c r="J319" s="48"/>
      <c r="K319" s="48"/>
      <c r="L319" s="48"/>
      <c r="M319" s="48"/>
      <c r="N319" s="48"/>
      <c r="O319" s="48"/>
      <c r="P319" s="48"/>
      <c r="Q319" s="48"/>
      <c r="R319" s="48"/>
      <c r="S319" s="48"/>
      <c r="T319" s="48"/>
      <c r="U319" s="48"/>
      <c r="V319" s="48"/>
    </row>
    <row r="320" spans="1:22">
      <c r="A320" s="48"/>
      <c r="B320" s="48"/>
      <c r="C320" s="48"/>
      <c r="D320" s="48"/>
      <c r="E320" s="48"/>
      <c r="F320" s="48"/>
      <c r="G320" s="48"/>
      <c r="H320" s="48"/>
      <c r="I320" s="48"/>
      <c r="J320" s="48"/>
      <c r="K320" s="48"/>
      <c r="L320" s="48"/>
      <c r="M320" s="48"/>
      <c r="N320" s="48"/>
      <c r="O320" s="48"/>
      <c r="P320" s="48"/>
      <c r="Q320" s="48"/>
      <c r="R320" s="48"/>
      <c r="S320" s="48"/>
      <c r="T320" s="48"/>
      <c r="U320" s="48"/>
      <c r="V320" s="48"/>
    </row>
    <row r="321" spans="1:22">
      <c r="A321" s="48"/>
      <c r="B321" s="48"/>
      <c r="C321" s="48"/>
      <c r="D321" s="48"/>
      <c r="E321" s="48"/>
      <c r="F321" s="48"/>
      <c r="G321" s="48"/>
      <c r="H321" s="48"/>
      <c r="I321" s="48"/>
      <c r="J321" s="48"/>
      <c r="K321" s="48"/>
      <c r="L321" s="48"/>
      <c r="M321" s="48"/>
      <c r="N321" s="48"/>
      <c r="O321" s="48"/>
      <c r="P321" s="48"/>
      <c r="Q321" s="48"/>
      <c r="R321" s="48"/>
      <c r="S321" s="48"/>
      <c r="T321" s="48"/>
      <c r="U321" s="48"/>
      <c r="V321" s="48"/>
    </row>
    <row r="322" spans="1:22">
      <c r="A322" s="48"/>
      <c r="B322" s="48"/>
      <c r="C322" s="48"/>
      <c r="D322" s="48"/>
      <c r="E322" s="48"/>
      <c r="F322" s="48"/>
      <c r="G322" s="48"/>
      <c r="H322" s="48"/>
      <c r="I322" s="48"/>
      <c r="J322" s="48"/>
      <c r="K322" s="48"/>
      <c r="L322" s="48"/>
      <c r="M322" s="48"/>
      <c r="N322" s="48"/>
      <c r="O322" s="48"/>
      <c r="P322" s="48"/>
      <c r="Q322" s="48"/>
      <c r="R322" s="48"/>
      <c r="S322" s="48"/>
      <c r="T322" s="48"/>
      <c r="U322" s="48"/>
      <c r="V322" s="48"/>
    </row>
    <row r="323" spans="1:22">
      <c r="A323" s="48"/>
      <c r="B323" s="48"/>
      <c r="C323" s="48"/>
      <c r="D323" s="48"/>
      <c r="E323" s="48"/>
      <c r="F323" s="48"/>
      <c r="G323" s="48"/>
      <c r="H323" s="48"/>
      <c r="I323" s="48"/>
      <c r="J323" s="48"/>
      <c r="K323" s="48"/>
      <c r="L323" s="48"/>
      <c r="M323" s="48"/>
      <c r="N323" s="48"/>
      <c r="O323" s="48"/>
      <c r="P323" s="48"/>
      <c r="Q323" s="48"/>
      <c r="R323" s="48"/>
      <c r="S323" s="48"/>
      <c r="T323" s="48"/>
      <c r="U323" s="48"/>
      <c r="V323" s="48"/>
    </row>
    <row r="324" spans="1:22">
      <c r="A324" s="48"/>
      <c r="B324" s="48"/>
      <c r="C324" s="48"/>
      <c r="D324" s="48"/>
      <c r="E324" s="48"/>
      <c r="F324" s="48"/>
      <c r="G324" s="48"/>
      <c r="H324" s="48"/>
      <c r="I324" s="48"/>
      <c r="J324" s="48"/>
      <c r="K324" s="48"/>
      <c r="L324" s="48"/>
      <c r="M324" s="48"/>
      <c r="N324" s="48"/>
      <c r="O324" s="48"/>
      <c r="P324" s="48"/>
      <c r="Q324" s="48"/>
      <c r="R324" s="48"/>
      <c r="S324" s="48"/>
      <c r="T324" s="48"/>
      <c r="U324" s="48"/>
      <c r="V324" s="48"/>
    </row>
    <row r="325" spans="1:22">
      <c r="A325" s="48"/>
      <c r="B325" s="48"/>
      <c r="C325" s="48"/>
      <c r="D325" s="48"/>
      <c r="E325" s="48"/>
      <c r="F325" s="48"/>
      <c r="G325" s="48"/>
      <c r="H325" s="48"/>
      <c r="I325" s="48"/>
      <c r="J325" s="48"/>
      <c r="K325" s="48"/>
      <c r="L325" s="48"/>
      <c r="M325" s="48"/>
      <c r="N325" s="48"/>
      <c r="O325" s="48"/>
      <c r="P325" s="48"/>
      <c r="Q325" s="48"/>
      <c r="R325" s="48"/>
      <c r="S325" s="48"/>
      <c r="T325" s="48"/>
      <c r="U325" s="48"/>
      <c r="V325" s="48"/>
    </row>
    <row r="326" spans="1:22">
      <c r="A326" s="48"/>
      <c r="B326" s="48"/>
      <c r="C326" s="48"/>
      <c r="D326" s="48"/>
      <c r="E326" s="48"/>
      <c r="F326" s="48"/>
      <c r="G326" s="48"/>
      <c r="H326" s="48"/>
      <c r="I326" s="48"/>
      <c r="J326" s="48"/>
      <c r="K326" s="48"/>
      <c r="L326" s="48"/>
      <c r="M326" s="48"/>
      <c r="N326" s="48"/>
      <c r="O326" s="48"/>
      <c r="P326" s="48"/>
      <c r="Q326" s="48"/>
      <c r="R326" s="48"/>
      <c r="S326" s="48"/>
      <c r="T326" s="48"/>
      <c r="U326" s="48"/>
      <c r="V326" s="48"/>
    </row>
    <row r="327" spans="1:22">
      <c r="A327" s="48"/>
      <c r="B327" s="48"/>
      <c r="C327" s="48"/>
      <c r="D327" s="48"/>
      <c r="E327" s="48"/>
      <c r="F327" s="48"/>
      <c r="G327" s="48"/>
      <c r="H327" s="48"/>
      <c r="I327" s="48"/>
      <c r="J327" s="48"/>
      <c r="K327" s="48"/>
      <c r="L327" s="48"/>
      <c r="M327" s="48"/>
      <c r="N327" s="48"/>
      <c r="O327" s="48"/>
      <c r="P327" s="48"/>
      <c r="Q327" s="48"/>
      <c r="R327" s="48"/>
      <c r="S327" s="48"/>
      <c r="T327" s="48"/>
      <c r="U327" s="48"/>
      <c r="V327" s="48"/>
    </row>
    <row r="328" spans="1:22">
      <c r="A328" s="48"/>
      <c r="B328" s="48"/>
      <c r="C328" s="48"/>
      <c r="D328" s="48"/>
      <c r="E328" s="48"/>
      <c r="F328" s="48"/>
      <c r="G328" s="48"/>
      <c r="H328" s="48"/>
      <c r="I328" s="48"/>
      <c r="J328" s="48"/>
      <c r="K328" s="48"/>
      <c r="L328" s="48"/>
      <c r="M328" s="48"/>
      <c r="N328" s="48"/>
      <c r="O328" s="48"/>
      <c r="P328" s="48"/>
      <c r="Q328" s="48"/>
      <c r="R328" s="48"/>
      <c r="S328" s="48"/>
      <c r="T328" s="48"/>
      <c r="U328" s="48"/>
      <c r="V328" s="48"/>
    </row>
    <row r="329" spans="1:22">
      <c r="A329" s="48"/>
      <c r="B329" s="48"/>
      <c r="C329" s="48"/>
      <c r="D329" s="48"/>
      <c r="E329" s="48"/>
      <c r="F329" s="48"/>
      <c r="G329" s="48"/>
      <c r="H329" s="48"/>
      <c r="I329" s="48"/>
      <c r="J329" s="48"/>
      <c r="K329" s="48"/>
      <c r="L329" s="48"/>
      <c r="M329" s="48"/>
      <c r="N329" s="48"/>
      <c r="O329" s="48"/>
      <c r="P329" s="48"/>
      <c r="Q329" s="48"/>
      <c r="R329" s="48"/>
      <c r="S329" s="48"/>
      <c r="T329" s="48"/>
      <c r="U329" s="48"/>
      <c r="V329" s="48"/>
    </row>
    <row r="330" spans="1:22">
      <c r="A330" s="48"/>
      <c r="B330" s="48"/>
      <c r="C330" s="48"/>
      <c r="D330" s="48"/>
      <c r="E330" s="48"/>
      <c r="F330" s="48"/>
      <c r="G330" s="48"/>
      <c r="H330" s="48"/>
      <c r="I330" s="48"/>
      <c r="J330" s="48"/>
      <c r="K330" s="48"/>
      <c r="L330" s="48"/>
      <c r="M330" s="48"/>
      <c r="N330" s="48"/>
      <c r="O330" s="48"/>
      <c r="P330" s="48"/>
      <c r="Q330" s="48"/>
      <c r="R330" s="48"/>
      <c r="S330" s="48"/>
      <c r="T330" s="48"/>
      <c r="U330" s="48"/>
      <c r="V330" s="48"/>
    </row>
    <row r="331" spans="1:22">
      <c r="A331" s="48"/>
      <c r="B331" s="48"/>
      <c r="C331" s="48"/>
      <c r="D331" s="48"/>
      <c r="E331" s="48"/>
      <c r="F331" s="48"/>
      <c r="G331" s="48"/>
      <c r="H331" s="48"/>
      <c r="I331" s="48"/>
      <c r="J331" s="48"/>
      <c r="K331" s="48"/>
      <c r="L331" s="48"/>
      <c r="M331" s="48"/>
      <c r="N331" s="48"/>
      <c r="O331" s="48"/>
      <c r="P331" s="48"/>
      <c r="Q331" s="48"/>
      <c r="R331" s="48"/>
      <c r="S331" s="48"/>
      <c r="T331" s="48"/>
      <c r="U331" s="48"/>
      <c r="V331" s="48"/>
    </row>
    <row r="332" spans="1:22">
      <c r="A332" s="48"/>
      <c r="B332" s="48"/>
      <c r="C332" s="48"/>
      <c r="D332" s="48"/>
      <c r="E332" s="48"/>
      <c r="F332" s="48"/>
      <c r="G332" s="48"/>
      <c r="H332" s="48"/>
      <c r="I332" s="48"/>
      <c r="J332" s="48"/>
      <c r="K332" s="48"/>
      <c r="L332" s="48"/>
      <c r="M332" s="48"/>
      <c r="N332" s="48"/>
      <c r="O332" s="48"/>
      <c r="P332" s="48"/>
      <c r="Q332" s="48"/>
      <c r="R332" s="48"/>
      <c r="S332" s="48"/>
      <c r="T332" s="48"/>
      <c r="U332" s="48"/>
      <c r="V332" s="48"/>
    </row>
    <row r="333" spans="1:22">
      <c r="A333" s="48"/>
      <c r="B333" s="48"/>
      <c r="C333" s="48"/>
      <c r="D333" s="48"/>
      <c r="E333" s="48"/>
      <c r="F333" s="48"/>
      <c r="G333" s="48"/>
      <c r="H333" s="48"/>
      <c r="I333" s="48"/>
      <c r="J333" s="48"/>
      <c r="K333" s="48"/>
      <c r="L333" s="48"/>
      <c r="M333" s="48"/>
      <c r="N333" s="48"/>
      <c r="O333" s="48"/>
      <c r="P333" s="48"/>
      <c r="Q333" s="48"/>
      <c r="R333" s="48"/>
      <c r="S333" s="48"/>
      <c r="T333" s="48"/>
      <c r="U333" s="48"/>
      <c r="V333" s="48"/>
    </row>
    <row r="334" spans="1:22">
      <c r="A334" s="48"/>
      <c r="B334" s="48"/>
      <c r="C334" s="48"/>
      <c r="D334" s="48"/>
      <c r="E334" s="48"/>
      <c r="F334" s="48"/>
      <c r="G334" s="48"/>
      <c r="H334" s="48"/>
      <c r="I334" s="48"/>
      <c r="J334" s="48"/>
      <c r="K334" s="48"/>
      <c r="L334" s="48"/>
      <c r="M334" s="48"/>
      <c r="N334" s="48"/>
      <c r="O334" s="48"/>
      <c r="P334" s="48"/>
      <c r="Q334" s="48"/>
      <c r="R334" s="48"/>
      <c r="S334" s="48"/>
      <c r="T334" s="48"/>
      <c r="U334" s="48"/>
      <c r="V334" s="48"/>
    </row>
    <row r="335" spans="1:22">
      <c r="A335" s="48"/>
      <c r="B335" s="48"/>
      <c r="C335" s="48"/>
      <c r="D335" s="48"/>
      <c r="E335" s="48"/>
      <c r="F335" s="48"/>
      <c r="G335" s="48"/>
      <c r="H335" s="48"/>
      <c r="I335" s="48"/>
      <c r="J335" s="48"/>
      <c r="K335" s="48"/>
      <c r="L335" s="48"/>
      <c r="M335" s="48"/>
      <c r="N335" s="48"/>
      <c r="O335" s="48"/>
      <c r="P335" s="48"/>
      <c r="Q335" s="48"/>
      <c r="R335" s="48"/>
      <c r="S335" s="48"/>
      <c r="T335" s="48"/>
      <c r="U335" s="48"/>
      <c r="V335" s="48"/>
    </row>
    <row r="336" spans="1:22">
      <c r="A336" s="48"/>
      <c r="B336" s="48"/>
      <c r="C336" s="48"/>
      <c r="D336" s="48"/>
      <c r="E336" s="48"/>
      <c r="F336" s="48"/>
      <c r="G336" s="48"/>
      <c r="H336" s="48"/>
      <c r="I336" s="48"/>
      <c r="J336" s="48"/>
      <c r="K336" s="48"/>
      <c r="L336" s="48"/>
      <c r="M336" s="48"/>
      <c r="N336" s="48"/>
      <c r="O336" s="48"/>
      <c r="P336" s="48"/>
      <c r="Q336" s="48"/>
      <c r="R336" s="48"/>
      <c r="S336" s="48"/>
      <c r="T336" s="48"/>
      <c r="U336" s="48"/>
      <c r="V336" s="48"/>
    </row>
    <row r="337" spans="1:22">
      <c r="A337" s="48"/>
      <c r="B337" s="48"/>
      <c r="C337" s="48"/>
      <c r="D337" s="48"/>
      <c r="E337" s="48"/>
      <c r="F337" s="48"/>
      <c r="G337" s="48"/>
      <c r="H337" s="48"/>
      <c r="I337" s="48"/>
      <c r="J337" s="48"/>
      <c r="K337" s="48"/>
      <c r="L337" s="48"/>
      <c r="M337" s="48"/>
      <c r="N337" s="48"/>
      <c r="O337" s="48"/>
      <c r="P337" s="48"/>
      <c r="Q337" s="48"/>
      <c r="R337" s="48"/>
      <c r="S337" s="48"/>
      <c r="T337" s="48"/>
      <c r="U337" s="48"/>
      <c r="V337" s="48"/>
    </row>
    <row r="338" spans="1:22">
      <c r="A338" s="48"/>
      <c r="B338" s="48"/>
      <c r="C338" s="48"/>
      <c r="D338" s="48"/>
      <c r="E338" s="48"/>
      <c r="F338" s="48"/>
      <c r="G338" s="48"/>
      <c r="H338" s="48"/>
      <c r="I338" s="48"/>
      <c r="J338" s="48"/>
      <c r="K338" s="48"/>
      <c r="L338" s="48"/>
      <c r="M338" s="48"/>
      <c r="N338" s="48"/>
      <c r="O338" s="48"/>
      <c r="P338" s="48"/>
      <c r="Q338" s="48"/>
      <c r="R338" s="48"/>
      <c r="S338" s="48"/>
      <c r="T338" s="48"/>
      <c r="U338" s="48"/>
      <c r="V338" s="48"/>
    </row>
    <row r="339" spans="1:22">
      <c r="A339" s="48"/>
      <c r="B339" s="48"/>
      <c r="C339" s="48"/>
      <c r="D339" s="48"/>
      <c r="E339" s="48"/>
      <c r="F339" s="48"/>
      <c r="G339" s="48"/>
      <c r="H339" s="48"/>
      <c r="I339" s="48"/>
      <c r="J339" s="48"/>
      <c r="K339" s="48"/>
      <c r="L339" s="48"/>
      <c r="M339" s="48"/>
      <c r="N339" s="48"/>
      <c r="O339" s="48"/>
      <c r="P339" s="48"/>
      <c r="Q339" s="48"/>
      <c r="R339" s="48"/>
      <c r="S339" s="48"/>
      <c r="T339" s="48"/>
      <c r="U339" s="48"/>
      <c r="V339" s="48"/>
    </row>
    <row r="340" spans="1:22">
      <c r="A340" s="48"/>
      <c r="B340" s="48"/>
      <c r="C340" s="48"/>
      <c r="D340" s="48"/>
      <c r="E340" s="48"/>
      <c r="F340" s="48"/>
      <c r="G340" s="48"/>
      <c r="H340" s="48"/>
      <c r="I340" s="48"/>
      <c r="J340" s="48"/>
      <c r="K340" s="48"/>
      <c r="L340" s="48"/>
      <c r="M340" s="48"/>
      <c r="N340" s="48"/>
      <c r="O340" s="48"/>
      <c r="P340" s="48"/>
      <c r="Q340" s="48"/>
      <c r="R340" s="48"/>
      <c r="S340" s="48"/>
      <c r="T340" s="48"/>
      <c r="U340" s="48"/>
      <c r="V340" s="48"/>
    </row>
    <row r="341" spans="1:22">
      <c r="A341" s="48"/>
      <c r="B341" s="48"/>
      <c r="C341" s="48"/>
      <c r="D341" s="48"/>
      <c r="E341" s="48"/>
      <c r="F341" s="48"/>
      <c r="G341" s="48"/>
      <c r="H341" s="48"/>
      <c r="I341" s="48"/>
      <c r="J341" s="48"/>
      <c r="K341" s="48"/>
      <c r="L341" s="48"/>
      <c r="M341" s="48"/>
      <c r="N341" s="48"/>
      <c r="O341" s="48"/>
      <c r="P341" s="48"/>
      <c r="Q341" s="48"/>
      <c r="R341" s="48"/>
      <c r="S341" s="48"/>
      <c r="T341" s="48"/>
      <c r="U341" s="48"/>
      <c r="V341" s="48"/>
    </row>
    <row r="342" spans="1:22">
      <c r="A342" s="48"/>
      <c r="B342" s="48"/>
      <c r="C342" s="48"/>
      <c r="D342" s="48"/>
      <c r="E342" s="48"/>
      <c r="F342" s="48"/>
      <c r="G342" s="48"/>
      <c r="H342" s="48"/>
      <c r="I342" s="48"/>
      <c r="J342" s="48"/>
      <c r="K342" s="48"/>
      <c r="L342" s="48"/>
      <c r="M342" s="48"/>
      <c r="N342" s="48"/>
      <c r="O342" s="48"/>
      <c r="P342" s="48"/>
      <c r="Q342" s="48"/>
      <c r="R342" s="48"/>
      <c r="S342" s="48"/>
      <c r="T342" s="48"/>
      <c r="U342" s="48"/>
      <c r="V342" s="48"/>
    </row>
    <row r="343" spans="1:22">
      <c r="A343" s="48"/>
      <c r="B343" s="48"/>
      <c r="C343" s="48"/>
      <c r="D343" s="48"/>
      <c r="E343" s="48"/>
      <c r="F343" s="48"/>
      <c r="G343" s="48"/>
      <c r="H343" s="48"/>
      <c r="I343" s="48"/>
      <c r="J343" s="48"/>
      <c r="K343" s="48"/>
      <c r="L343" s="48"/>
      <c r="M343" s="48"/>
      <c r="N343" s="48"/>
      <c r="O343" s="48"/>
      <c r="P343" s="48"/>
      <c r="Q343" s="48"/>
      <c r="R343" s="48"/>
      <c r="S343" s="48"/>
      <c r="T343" s="48"/>
      <c r="U343" s="48"/>
      <c r="V343" s="48"/>
    </row>
    <row r="344" spans="1:22">
      <c r="A344" s="48"/>
      <c r="B344" s="48"/>
      <c r="C344" s="48"/>
      <c r="D344" s="48"/>
      <c r="E344" s="48"/>
      <c r="F344" s="48"/>
      <c r="G344" s="48"/>
      <c r="H344" s="48"/>
      <c r="I344" s="48"/>
      <c r="J344" s="48"/>
      <c r="K344" s="48"/>
      <c r="L344" s="48"/>
      <c r="M344" s="48"/>
      <c r="N344" s="48"/>
      <c r="O344" s="48"/>
      <c r="P344" s="48"/>
      <c r="Q344" s="48"/>
      <c r="R344" s="48"/>
      <c r="S344" s="48"/>
      <c r="T344" s="48"/>
      <c r="U344" s="48"/>
      <c r="V344" s="48"/>
    </row>
    <row r="345" spans="1:22">
      <c r="A345" s="48"/>
      <c r="B345" s="48"/>
      <c r="C345" s="48"/>
      <c r="D345" s="48"/>
      <c r="E345" s="48"/>
      <c r="F345" s="48"/>
      <c r="G345" s="48"/>
      <c r="H345" s="48"/>
      <c r="I345" s="48"/>
      <c r="J345" s="48"/>
      <c r="K345" s="48"/>
      <c r="L345" s="48"/>
      <c r="M345" s="48"/>
      <c r="N345" s="48"/>
      <c r="O345" s="48"/>
      <c r="P345" s="48"/>
      <c r="Q345" s="48"/>
      <c r="R345" s="48"/>
      <c r="S345" s="48"/>
      <c r="T345" s="48"/>
      <c r="U345" s="48"/>
      <c r="V345" s="48"/>
    </row>
    <row r="346" spans="1:22">
      <c r="A346" s="48"/>
      <c r="B346" s="48"/>
      <c r="C346" s="48"/>
      <c r="D346" s="48"/>
      <c r="E346" s="48"/>
      <c r="F346" s="48"/>
      <c r="G346" s="48"/>
      <c r="H346" s="48"/>
      <c r="I346" s="48"/>
      <c r="J346" s="48"/>
      <c r="K346" s="48"/>
      <c r="L346" s="48"/>
      <c r="M346" s="48"/>
      <c r="N346" s="48"/>
      <c r="O346" s="48"/>
      <c r="P346" s="48"/>
      <c r="Q346" s="48"/>
      <c r="R346" s="48"/>
      <c r="S346" s="48"/>
      <c r="T346" s="48"/>
      <c r="U346" s="48"/>
      <c r="V346" s="48"/>
    </row>
    <row r="347" spans="1:22">
      <c r="A347" s="48"/>
      <c r="B347" s="48"/>
      <c r="C347" s="48"/>
      <c r="D347" s="48"/>
      <c r="E347" s="48"/>
      <c r="F347" s="48"/>
      <c r="G347" s="48"/>
      <c r="H347" s="48"/>
      <c r="I347" s="48"/>
      <c r="J347" s="48"/>
      <c r="K347" s="48"/>
      <c r="L347" s="48"/>
      <c r="M347" s="48"/>
      <c r="N347" s="48"/>
      <c r="O347" s="48"/>
      <c r="P347" s="48"/>
      <c r="Q347" s="48"/>
      <c r="R347" s="48"/>
      <c r="S347" s="48"/>
      <c r="T347" s="48"/>
      <c r="U347" s="48"/>
      <c r="V347" s="48"/>
    </row>
    <row r="348" spans="1:22">
      <c r="A348" s="48"/>
      <c r="B348" s="48"/>
      <c r="C348" s="48"/>
      <c r="D348" s="48"/>
      <c r="E348" s="48"/>
      <c r="F348" s="48"/>
      <c r="G348" s="48"/>
      <c r="H348" s="48"/>
      <c r="I348" s="48"/>
      <c r="J348" s="48"/>
      <c r="K348" s="48"/>
      <c r="L348" s="48"/>
      <c r="M348" s="48"/>
      <c r="N348" s="48"/>
      <c r="O348" s="48"/>
      <c r="P348" s="48"/>
      <c r="Q348" s="48"/>
      <c r="R348" s="48"/>
      <c r="S348" s="48"/>
      <c r="T348" s="48"/>
      <c r="U348" s="48"/>
      <c r="V348" s="48"/>
    </row>
    <row r="349" spans="1:22">
      <c r="A349" s="48"/>
      <c r="B349" s="48"/>
      <c r="C349" s="48"/>
      <c r="D349" s="48"/>
      <c r="E349" s="48"/>
      <c r="F349" s="48"/>
      <c r="G349" s="48"/>
      <c r="H349" s="48"/>
      <c r="I349" s="48"/>
      <c r="J349" s="48"/>
      <c r="K349" s="48"/>
      <c r="L349" s="48"/>
      <c r="M349" s="48"/>
      <c r="N349" s="48"/>
      <c r="O349" s="48"/>
      <c r="P349" s="48"/>
      <c r="Q349" s="48"/>
      <c r="R349" s="48"/>
      <c r="S349" s="48"/>
      <c r="T349" s="48"/>
      <c r="U349" s="48"/>
      <c r="V349" s="48"/>
    </row>
    <row r="350" spans="1:22">
      <c r="A350" s="48"/>
      <c r="B350" s="48"/>
      <c r="C350" s="48"/>
      <c r="D350" s="48"/>
      <c r="E350" s="48"/>
      <c r="F350" s="48"/>
      <c r="G350" s="48"/>
      <c r="H350" s="48"/>
      <c r="I350" s="48"/>
      <c r="J350" s="48"/>
      <c r="K350" s="48"/>
      <c r="L350" s="48"/>
      <c r="M350" s="48"/>
      <c r="N350" s="48"/>
      <c r="O350" s="48"/>
      <c r="P350" s="48"/>
      <c r="Q350" s="48"/>
      <c r="R350" s="48"/>
      <c r="S350" s="48"/>
      <c r="T350" s="48"/>
      <c r="U350" s="48"/>
      <c r="V350" s="48"/>
    </row>
    <row r="351" spans="1:22">
      <c r="A351" s="48"/>
      <c r="B351" s="48"/>
      <c r="C351" s="48"/>
      <c r="D351" s="48"/>
      <c r="E351" s="48"/>
      <c r="F351" s="48"/>
      <c r="G351" s="48"/>
      <c r="H351" s="48"/>
      <c r="I351" s="48"/>
      <c r="J351" s="48"/>
      <c r="K351" s="48"/>
      <c r="L351" s="48"/>
      <c r="M351" s="48"/>
      <c r="N351" s="48"/>
      <c r="O351" s="48"/>
      <c r="P351" s="48"/>
      <c r="Q351" s="48"/>
      <c r="R351" s="48"/>
      <c r="S351" s="48"/>
      <c r="T351" s="48"/>
      <c r="U351" s="48"/>
      <c r="V351" s="48"/>
    </row>
    <row r="352" spans="1:22">
      <c r="A352" s="48"/>
      <c r="B352" s="48"/>
      <c r="C352" s="48"/>
      <c r="D352" s="48"/>
      <c r="E352" s="48"/>
      <c r="F352" s="48"/>
      <c r="G352" s="48"/>
      <c r="H352" s="48"/>
      <c r="I352" s="48"/>
      <c r="J352" s="48"/>
      <c r="K352" s="48"/>
      <c r="L352" s="48"/>
      <c r="M352" s="48"/>
      <c r="N352" s="48"/>
      <c r="O352" s="48"/>
      <c r="P352" s="48"/>
      <c r="Q352" s="48"/>
      <c r="R352" s="48"/>
      <c r="S352" s="48"/>
      <c r="T352" s="48"/>
      <c r="U352" s="48"/>
      <c r="V352" s="48"/>
    </row>
    <row r="353" spans="1:22">
      <c r="A353" s="48"/>
      <c r="B353" s="48"/>
      <c r="C353" s="48"/>
      <c r="D353" s="48"/>
      <c r="E353" s="48"/>
      <c r="F353" s="48"/>
      <c r="G353" s="48"/>
      <c r="H353" s="48"/>
      <c r="I353" s="48"/>
      <c r="J353" s="48"/>
      <c r="K353" s="48"/>
      <c r="L353" s="48"/>
      <c r="M353" s="48"/>
      <c r="N353" s="48"/>
      <c r="O353" s="48"/>
      <c r="P353" s="48"/>
      <c r="Q353" s="48"/>
      <c r="R353" s="48"/>
      <c r="S353" s="48"/>
      <c r="T353" s="48"/>
      <c r="U353" s="48"/>
      <c r="V353" s="48"/>
    </row>
    <row r="354" spans="1:22">
      <c r="A354" s="48"/>
      <c r="B354" s="48"/>
      <c r="C354" s="48"/>
      <c r="D354" s="48"/>
      <c r="E354" s="48"/>
      <c r="F354" s="48"/>
      <c r="G354" s="48"/>
      <c r="H354" s="48"/>
      <c r="I354" s="48"/>
      <c r="J354" s="48"/>
      <c r="K354" s="48"/>
      <c r="L354" s="48"/>
      <c r="M354" s="48"/>
      <c r="N354" s="48"/>
      <c r="O354" s="48"/>
      <c r="P354" s="48"/>
      <c r="Q354" s="48"/>
      <c r="R354" s="48"/>
      <c r="S354" s="48"/>
      <c r="T354" s="48"/>
      <c r="U354" s="48"/>
      <c r="V354" s="48"/>
    </row>
    <row r="355" spans="1:22">
      <c r="A355" s="48"/>
      <c r="B355" s="48"/>
      <c r="C355" s="48"/>
      <c r="D355" s="48"/>
      <c r="E355" s="48"/>
      <c r="F355" s="48"/>
      <c r="G355" s="48"/>
      <c r="H355" s="48"/>
      <c r="I355" s="48"/>
      <c r="J355" s="48"/>
      <c r="K355" s="48"/>
      <c r="L355" s="48"/>
      <c r="M355" s="48"/>
      <c r="N355" s="48"/>
      <c r="O355" s="48"/>
      <c r="P355" s="48"/>
      <c r="Q355" s="48"/>
      <c r="R355" s="48"/>
      <c r="S355" s="48"/>
      <c r="T355" s="48"/>
      <c r="U355" s="48"/>
      <c r="V355" s="48"/>
    </row>
    <row r="356" spans="1:22">
      <c r="A356" s="48"/>
      <c r="B356" s="48"/>
      <c r="C356" s="48"/>
      <c r="D356" s="48"/>
      <c r="E356" s="48"/>
      <c r="F356" s="48"/>
      <c r="G356" s="48"/>
      <c r="H356" s="48"/>
      <c r="I356" s="48"/>
      <c r="J356" s="48"/>
      <c r="K356" s="48"/>
      <c r="L356" s="48"/>
      <c r="M356" s="48"/>
      <c r="N356" s="48"/>
      <c r="O356" s="48"/>
      <c r="P356" s="48"/>
      <c r="Q356" s="48"/>
      <c r="R356" s="48"/>
      <c r="S356" s="48"/>
      <c r="T356" s="48"/>
      <c r="U356" s="48"/>
      <c r="V356" s="48"/>
    </row>
    <row r="357" spans="1:22">
      <c r="A357" s="48"/>
      <c r="B357" s="48"/>
      <c r="C357" s="48"/>
      <c r="D357" s="48"/>
      <c r="E357" s="48"/>
      <c r="F357" s="48"/>
      <c r="G357" s="48"/>
      <c r="H357" s="48"/>
      <c r="I357" s="48"/>
      <c r="J357" s="48"/>
      <c r="K357" s="48"/>
      <c r="L357" s="48"/>
      <c r="M357" s="48"/>
      <c r="N357" s="48"/>
      <c r="O357" s="48"/>
      <c r="P357" s="48"/>
      <c r="Q357" s="48"/>
      <c r="R357" s="48"/>
      <c r="S357" s="48"/>
      <c r="T357" s="48"/>
      <c r="U357" s="48"/>
      <c r="V357" s="48"/>
    </row>
    <row r="358" spans="1:22">
      <c r="A358" s="48"/>
      <c r="B358" s="48"/>
      <c r="C358" s="48"/>
      <c r="D358" s="48"/>
      <c r="E358" s="48"/>
      <c r="F358" s="48"/>
      <c r="G358" s="48"/>
      <c r="H358" s="48"/>
      <c r="I358" s="48"/>
      <c r="J358" s="48"/>
      <c r="K358" s="48"/>
      <c r="L358" s="48"/>
      <c r="M358" s="48"/>
      <c r="N358" s="48"/>
      <c r="O358" s="48"/>
      <c r="P358" s="48"/>
      <c r="Q358" s="48"/>
      <c r="R358" s="48"/>
      <c r="S358" s="48"/>
      <c r="T358" s="48"/>
      <c r="U358" s="48"/>
      <c r="V358" s="48"/>
    </row>
    <row r="359" spans="1:22">
      <c r="A359" s="48"/>
      <c r="B359" s="48"/>
      <c r="C359" s="48"/>
      <c r="D359" s="48"/>
      <c r="E359" s="48"/>
      <c r="F359" s="48"/>
      <c r="G359" s="48"/>
      <c r="H359" s="48"/>
      <c r="I359" s="48"/>
      <c r="J359" s="48"/>
      <c r="K359" s="48"/>
      <c r="L359" s="48"/>
      <c r="M359" s="48"/>
      <c r="N359" s="48"/>
      <c r="O359" s="48"/>
      <c r="P359" s="48"/>
      <c r="Q359" s="48"/>
      <c r="R359" s="48"/>
      <c r="S359" s="48"/>
      <c r="T359" s="48"/>
      <c r="U359" s="48"/>
      <c r="V359" s="48"/>
    </row>
    <row r="360" spans="1:22">
      <c r="A360" s="48"/>
      <c r="B360" s="48"/>
      <c r="C360" s="48"/>
      <c r="D360" s="48"/>
      <c r="E360" s="48"/>
      <c r="F360" s="48"/>
      <c r="G360" s="48"/>
      <c r="H360" s="48"/>
      <c r="I360" s="48"/>
      <c r="J360" s="48"/>
      <c r="K360" s="48"/>
      <c r="L360" s="48"/>
      <c r="M360" s="48"/>
      <c r="N360" s="48"/>
      <c r="O360" s="48"/>
      <c r="P360" s="48"/>
      <c r="Q360" s="48"/>
      <c r="R360" s="48"/>
      <c r="S360" s="48"/>
      <c r="T360" s="48"/>
      <c r="U360" s="48"/>
      <c r="V360" s="48"/>
    </row>
    <row r="361" spans="1:22">
      <c r="A361" s="48"/>
      <c r="B361" s="48"/>
      <c r="C361" s="48"/>
      <c r="D361" s="48"/>
      <c r="E361" s="48"/>
      <c r="F361" s="48"/>
      <c r="G361" s="48"/>
      <c r="H361" s="48"/>
      <c r="I361" s="48"/>
      <c r="J361" s="48"/>
      <c r="K361" s="48"/>
      <c r="L361" s="48"/>
      <c r="M361" s="48"/>
      <c r="N361" s="48"/>
      <c r="O361" s="48"/>
      <c r="P361" s="48"/>
      <c r="Q361" s="48"/>
      <c r="R361" s="48"/>
      <c r="S361" s="48"/>
      <c r="T361" s="48"/>
      <c r="U361" s="48"/>
      <c r="V361" s="48"/>
    </row>
    <row r="362" spans="1:22">
      <c r="A362" s="48"/>
      <c r="B362" s="48"/>
      <c r="C362" s="48"/>
      <c r="D362" s="48"/>
      <c r="E362" s="48"/>
      <c r="F362" s="48"/>
      <c r="G362" s="48"/>
      <c r="H362" s="48"/>
      <c r="I362" s="48"/>
      <c r="J362" s="48"/>
      <c r="K362" s="48"/>
      <c r="L362" s="48"/>
      <c r="M362" s="48"/>
      <c r="N362" s="48"/>
      <c r="O362" s="48"/>
      <c r="P362" s="48"/>
      <c r="Q362" s="48"/>
      <c r="R362" s="48"/>
      <c r="S362" s="48"/>
      <c r="T362" s="48"/>
      <c r="U362" s="48"/>
      <c r="V362" s="48"/>
    </row>
    <row r="363" spans="1:22">
      <c r="A363" s="48"/>
      <c r="B363" s="48"/>
      <c r="C363" s="48"/>
      <c r="D363" s="48"/>
      <c r="E363" s="48"/>
      <c r="F363" s="48"/>
      <c r="G363" s="48"/>
      <c r="H363" s="48"/>
      <c r="I363" s="48"/>
      <c r="J363" s="48"/>
      <c r="K363" s="48"/>
      <c r="L363" s="48"/>
      <c r="M363" s="48"/>
      <c r="N363" s="48"/>
      <c r="O363" s="48"/>
      <c r="P363" s="48"/>
      <c r="Q363" s="48"/>
      <c r="R363" s="48"/>
      <c r="S363" s="48"/>
      <c r="T363" s="48"/>
      <c r="U363" s="48"/>
      <c r="V363" s="48"/>
    </row>
    <row r="364" spans="1:22">
      <c r="A364" s="48"/>
      <c r="B364" s="48"/>
      <c r="C364" s="48"/>
      <c r="D364" s="48"/>
      <c r="E364" s="48"/>
      <c r="F364" s="48"/>
      <c r="G364" s="48"/>
      <c r="H364" s="48"/>
      <c r="I364" s="48"/>
      <c r="J364" s="48"/>
      <c r="K364" s="48"/>
      <c r="L364" s="48"/>
      <c r="M364" s="48"/>
      <c r="N364" s="48"/>
      <c r="O364" s="48"/>
      <c r="P364" s="48"/>
      <c r="Q364" s="48"/>
      <c r="R364" s="48"/>
      <c r="S364" s="48"/>
      <c r="T364" s="48"/>
      <c r="U364" s="48"/>
      <c r="V364" s="48"/>
    </row>
    <row r="365" spans="1:22">
      <c r="A365" s="48"/>
      <c r="B365" s="48"/>
      <c r="C365" s="48"/>
      <c r="D365" s="48"/>
      <c r="E365" s="48"/>
      <c r="F365" s="48"/>
      <c r="G365" s="48"/>
      <c r="H365" s="48"/>
      <c r="I365" s="48"/>
      <c r="J365" s="48"/>
      <c r="K365" s="48"/>
      <c r="L365" s="48"/>
      <c r="M365" s="48"/>
      <c r="N365" s="48"/>
      <c r="O365" s="48"/>
      <c r="P365" s="48"/>
      <c r="Q365" s="48"/>
      <c r="R365" s="48"/>
      <c r="S365" s="48"/>
      <c r="T365" s="48"/>
      <c r="U365" s="48"/>
      <c r="V365" s="48"/>
    </row>
    <row r="366" spans="1:22">
      <c r="A366" s="48"/>
      <c r="B366" s="48"/>
      <c r="C366" s="48"/>
      <c r="D366" s="48"/>
      <c r="E366" s="48"/>
      <c r="F366" s="48"/>
      <c r="G366" s="48"/>
      <c r="H366" s="48"/>
      <c r="I366" s="48"/>
      <c r="J366" s="48"/>
      <c r="K366" s="48"/>
      <c r="L366" s="48"/>
      <c r="M366" s="48"/>
      <c r="N366" s="48"/>
      <c r="O366" s="48"/>
      <c r="P366" s="48"/>
      <c r="Q366" s="48"/>
      <c r="R366" s="48"/>
      <c r="S366" s="48"/>
      <c r="T366" s="48"/>
      <c r="U366" s="48"/>
      <c r="V366" s="48"/>
    </row>
    <row r="367" spans="1:22">
      <c r="A367" s="48"/>
      <c r="B367" s="48"/>
      <c r="C367" s="48"/>
      <c r="D367" s="48"/>
      <c r="E367" s="48"/>
      <c r="F367" s="48"/>
      <c r="G367" s="48"/>
      <c r="H367" s="48"/>
      <c r="I367" s="48"/>
      <c r="J367" s="48"/>
      <c r="K367" s="48"/>
      <c r="L367" s="48"/>
      <c r="M367" s="48"/>
      <c r="N367" s="48"/>
      <c r="O367" s="48"/>
      <c r="P367" s="48"/>
      <c r="Q367" s="48"/>
      <c r="R367" s="48"/>
      <c r="S367" s="48"/>
      <c r="T367" s="48"/>
      <c r="U367" s="48"/>
      <c r="V367" s="48"/>
    </row>
    <row r="368" spans="1:22">
      <c r="A368" s="48"/>
      <c r="B368" s="48"/>
      <c r="C368" s="48"/>
      <c r="D368" s="48"/>
      <c r="E368" s="48"/>
      <c r="F368" s="48"/>
      <c r="G368" s="48"/>
      <c r="H368" s="48"/>
      <c r="I368" s="48"/>
      <c r="J368" s="48"/>
      <c r="K368" s="48"/>
      <c r="L368" s="48"/>
      <c r="M368" s="48"/>
      <c r="N368" s="48"/>
      <c r="O368" s="48"/>
      <c r="P368" s="48"/>
      <c r="Q368" s="48"/>
      <c r="R368" s="48"/>
      <c r="S368" s="48"/>
      <c r="T368" s="48"/>
      <c r="U368" s="48"/>
      <c r="V368" s="48"/>
    </row>
    <row r="369" spans="1:22">
      <c r="A369" s="48"/>
      <c r="B369" s="48"/>
      <c r="C369" s="48"/>
      <c r="D369" s="48"/>
      <c r="E369" s="48"/>
      <c r="F369" s="48"/>
      <c r="G369" s="48"/>
      <c r="H369" s="48"/>
      <c r="I369" s="48"/>
      <c r="J369" s="48"/>
      <c r="K369" s="48"/>
      <c r="L369" s="48"/>
      <c r="M369" s="48"/>
      <c r="N369" s="48"/>
      <c r="O369" s="48"/>
      <c r="P369" s="48"/>
      <c r="Q369" s="48"/>
      <c r="R369" s="48"/>
      <c r="S369" s="48"/>
      <c r="T369" s="48"/>
      <c r="U369" s="48"/>
      <c r="V369" s="48"/>
    </row>
    <row r="370" spans="1:22">
      <c r="A370" s="48"/>
      <c r="B370" s="48"/>
      <c r="C370" s="48"/>
      <c r="D370" s="48"/>
      <c r="E370" s="48"/>
      <c r="F370" s="48"/>
      <c r="G370" s="48"/>
      <c r="H370" s="48"/>
      <c r="I370" s="48"/>
      <c r="J370" s="48"/>
      <c r="K370" s="48"/>
      <c r="L370" s="48"/>
      <c r="M370" s="48"/>
      <c r="N370" s="48"/>
      <c r="O370" s="48"/>
      <c r="P370" s="48"/>
      <c r="Q370" s="48"/>
      <c r="R370" s="48"/>
      <c r="S370" s="48"/>
      <c r="T370" s="48"/>
      <c r="U370" s="48"/>
      <c r="V370" s="48"/>
    </row>
    <row r="371" spans="1:22">
      <c r="A371" s="48"/>
      <c r="B371" s="48"/>
      <c r="C371" s="48"/>
      <c r="D371" s="48"/>
      <c r="E371" s="48"/>
      <c r="F371" s="48"/>
      <c r="G371" s="48"/>
      <c r="H371" s="48"/>
      <c r="I371" s="48"/>
      <c r="J371" s="48"/>
      <c r="K371" s="48"/>
      <c r="L371" s="48"/>
      <c r="M371" s="48"/>
      <c r="N371" s="48"/>
      <c r="O371" s="48"/>
      <c r="P371" s="48"/>
      <c r="Q371" s="48"/>
      <c r="R371" s="48"/>
      <c r="S371" s="48"/>
      <c r="T371" s="48"/>
      <c r="U371" s="48"/>
      <c r="V371" s="48"/>
    </row>
    <row r="372" spans="1:22">
      <c r="A372" s="48"/>
      <c r="B372" s="48"/>
      <c r="C372" s="48"/>
      <c r="D372" s="48"/>
      <c r="E372" s="48"/>
      <c r="F372" s="48"/>
      <c r="G372" s="48"/>
      <c r="H372" s="48"/>
      <c r="I372" s="48"/>
      <c r="J372" s="48"/>
      <c r="K372" s="48"/>
      <c r="L372" s="48"/>
      <c r="M372" s="48"/>
      <c r="N372" s="48"/>
      <c r="O372" s="48"/>
      <c r="P372" s="48"/>
      <c r="Q372" s="48"/>
      <c r="R372" s="48"/>
      <c r="S372" s="48"/>
      <c r="T372" s="48"/>
      <c r="U372" s="48"/>
      <c r="V372" s="48"/>
    </row>
    <row r="373" spans="1:22">
      <c r="A373" s="48"/>
      <c r="B373" s="48"/>
      <c r="C373" s="48"/>
      <c r="D373" s="48"/>
      <c r="E373" s="48"/>
      <c r="F373" s="48"/>
      <c r="G373" s="48"/>
      <c r="H373" s="48"/>
      <c r="I373" s="48"/>
      <c r="J373" s="48"/>
      <c r="K373" s="48"/>
      <c r="L373" s="48"/>
      <c r="M373" s="48"/>
      <c r="N373" s="48"/>
      <c r="O373" s="48"/>
      <c r="P373" s="48"/>
      <c r="Q373" s="48"/>
      <c r="R373" s="48"/>
      <c r="S373" s="48"/>
      <c r="T373" s="48"/>
      <c r="U373" s="48"/>
      <c r="V373" s="48"/>
    </row>
    <row r="374" spans="1:22">
      <c r="A374" s="48"/>
      <c r="B374" s="48"/>
      <c r="C374" s="48"/>
      <c r="D374" s="48"/>
      <c r="E374" s="48"/>
      <c r="F374" s="48"/>
      <c r="G374" s="48"/>
      <c r="H374" s="48"/>
      <c r="I374" s="48"/>
      <c r="J374" s="48"/>
      <c r="K374" s="48"/>
      <c r="L374" s="48"/>
      <c r="M374" s="48"/>
      <c r="N374" s="48"/>
      <c r="O374" s="48"/>
      <c r="P374" s="48"/>
      <c r="Q374" s="48"/>
      <c r="R374" s="48"/>
      <c r="S374" s="48"/>
      <c r="T374" s="48"/>
      <c r="U374" s="48"/>
      <c r="V374" s="48"/>
    </row>
    <row r="375" spans="1:22">
      <c r="A375" s="48"/>
      <c r="B375" s="48"/>
      <c r="C375" s="48"/>
      <c r="D375" s="48"/>
      <c r="E375" s="48"/>
      <c r="F375" s="48"/>
      <c r="G375" s="48"/>
      <c r="H375" s="48"/>
      <c r="I375" s="48"/>
      <c r="J375" s="48"/>
      <c r="K375" s="48"/>
      <c r="L375" s="48"/>
      <c r="M375" s="48"/>
      <c r="N375" s="48"/>
      <c r="O375" s="48"/>
      <c r="P375" s="48"/>
      <c r="Q375" s="48"/>
      <c r="R375" s="48"/>
      <c r="S375" s="48"/>
      <c r="T375" s="48"/>
      <c r="U375" s="48"/>
      <c r="V375" s="48"/>
    </row>
    <row r="376" spans="1:22">
      <c r="A376" s="48"/>
      <c r="B376" s="48"/>
      <c r="C376" s="48"/>
      <c r="D376" s="48"/>
      <c r="E376" s="48"/>
      <c r="F376" s="48"/>
      <c r="G376" s="48"/>
      <c r="H376" s="48"/>
      <c r="I376" s="48"/>
      <c r="J376" s="48"/>
      <c r="K376" s="48"/>
      <c r="L376" s="48"/>
      <c r="M376" s="48"/>
      <c r="N376" s="48"/>
      <c r="O376" s="48"/>
      <c r="P376" s="48"/>
      <c r="Q376" s="48"/>
      <c r="R376" s="48"/>
      <c r="S376" s="48"/>
      <c r="T376" s="48"/>
      <c r="U376" s="48"/>
      <c r="V376" s="48"/>
    </row>
    <row r="377" spans="1:22">
      <c r="A377" s="48"/>
      <c r="B377" s="48"/>
      <c r="C377" s="48"/>
      <c r="D377" s="48"/>
      <c r="E377" s="48"/>
      <c r="F377" s="48"/>
      <c r="G377" s="48"/>
      <c r="H377" s="48"/>
      <c r="I377" s="48"/>
      <c r="J377" s="48"/>
      <c r="K377" s="48"/>
      <c r="L377" s="48"/>
      <c r="M377" s="48"/>
      <c r="N377" s="48"/>
      <c r="O377" s="48"/>
      <c r="P377" s="48"/>
      <c r="Q377" s="48"/>
      <c r="R377" s="48"/>
      <c r="S377" s="48"/>
      <c r="T377" s="48"/>
      <c r="U377" s="48"/>
      <c r="V377" s="48"/>
    </row>
    <row r="378" spans="1:22">
      <c r="A378" s="48"/>
      <c r="B378" s="48"/>
      <c r="C378" s="48"/>
      <c r="D378" s="48"/>
      <c r="E378" s="48"/>
      <c r="F378" s="48"/>
      <c r="G378" s="48"/>
      <c r="H378" s="48"/>
      <c r="I378" s="48"/>
      <c r="J378" s="48"/>
      <c r="K378" s="48"/>
      <c r="L378" s="48"/>
      <c r="M378" s="48"/>
      <c r="N378" s="48"/>
      <c r="O378" s="48"/>
      <c r="P378" s="48"/>
      <c r="Q378" s="48"/>
      <c r="R378" s="48"/>
      <c r="S378" s="48"/>
      <c r="T378" s="48"/>
      <c r="U378" s="48"/>
      <c r="V378" s="48"/>
    </row>
    <row r="379" spans="1:22">
      <c r="A379" s="48"/>
      <c r="B379" s="48"/>
      <c r="C379" s="48"/>
      <c r="D379" s="48"/>
      <c r="E379" s="48"/>
      <c r="F379" s="48"/>
      <c r="G379" s="48"/>
      <c r="H379" s="48"/>
      <c r="I379" s="48"/>
      <c r="J379" s="48"/>
      <c r="K379" s="48"/>
      <c r="L379" s="48"/>
      <c r="M379" s="48"/>
      <c r="N379" s="48"/>
      <c r="O379" s="48"/>
      <c r="P379" s="48"/>
      <c r="Q379" s="48"/>
      <c r="R379" s="48"/>
      <c r="S379" s="48"/>
      <c r="T379" s="48"/>
      <c r="U379" s="48"/>
      <c r="V379" s="48"/>
    </row>
    <row r="380" spans="1:22">
      <c r="A380" s="48"/>
      <c r="B380" s="48"/>
      <c r="C380" s="48"/>
      <c r="D380" s="48"/>
      <c r="E380" s="48"/>
      <c r="F380" s="48"/>
      <c r="G380" s="48"/>
      <c r="H380" s="48"/>
      <c r="I380" s="48"/>
      <c r="J380" s="48"/>
      <c r="K380" s="48"/>
      <c r="L380" s="48"/>
      <c r="M380" s="48"/>
      <c r="N380" s="48"/>
      <c r="O380" s="48"/>
      <c r="P380" s="48"/>
      <c r="Q380" s="48"/>
      <c r="R380" s="48"/>
      <c r="S380" s="48"/>
      <c r="T380" s="48"/>
      <c r="U380" s="48"/>
      <c r="V380" s="48"/>
    </row>
    <row r="381" spans="1:22">
      <c r="A381" s="48"/>
      <c r="B381" s="48"/>
      <c r="C381" s="48"/>
      <c r="D381" s="48"/>
      <c r="E381" s="48"/>
      <c r="F381" s="48"/>
      <c r="G381" s="48"/>
      <c r="H381" s="48"/>
      <c r="I381" s="48"/>
      <c r="J381" s="48"/>
      <c r="K381" s="48"/>
      <c r="L381" s="48"/>
      <c r="M381" s="48"/>
      <c r="N381" s="48"/>
      <c r="O381" s="48"/>
      <c r="P381" s="48"/>
      <c r="Q381" s="48"/>
      <c r="R381" s="48"/>
      <c r="S381" s="48"/>
      <c r="T381" s="48"/>
      <c r="U381" s="48"/>
      <c r="V381" s="48"/>
    </row>
    <row r="382" spans="1:22">
      <c r="A382" s="48"/>
      <c r="B382" s="48"/>
      <c r="C382" s="48"/>
      <c r="D382" s="48"/>
      <c r="E382" s="48"/>
      <c r="F382" s="48"/>
      <c r="G382" s="48"/>
      <c r="H382" s="48"/>
      <c r="I382" s="48"/>
      <c r="J382" s="48"/>
      <c r="K382" s="48"/>
      <c r="L382" s="48"/>
      <c r="M382" s="48"/>
      <c r="N382" s="48"/>
      <c r="O382" s="48"/>
      <c r="P382" s="48"/>
      <c r="Q382" s="48"/>
      <c r="R382" s="48"/>
      <c r="S382" s="48"/>
      <c r="T382" s="48"/>
      <c r="U382" s="48"/>
      <c r="V382" s="48"/>
    </row>
    <row r="383" spans="1:22">
      <c r="A383" s="48"/>
      <c r="B383" s="48"/>
      <c r="C383" s="48"/>
      <c r="D383" s="48"/>
      <c r="E383" s="48"/>
      <c r="F383" s="48"/>
      <c r="G383" s="48"/>
      <c r="H383" s="48"/>
      <c r="I383" s="48"/>
      <c r="J383" s="48"/>
      <c r="K383" s="48"/>
      <c r="L383" s="48"/>
      <c r="M383" s="48"/>
      <c r="N383" s="48"/>
      <c r="O383" s="48"/>
      <c r="P383" s="48"/>
      <c r="Q383" s="48"/>
      <c r="R383" s="48"/>
      <c r="S383" s="48"/>
      <c r="T383" s="48"/>
      <c r="U383" s="48"/>
      <c r="V383" s="48"/>
    </row>
    <row r="384" spans="1:22">
      <c r="A384" s="48"/>
      <c r="B384" s="48"/>
      <c r="C384" s="48"/>
      <c r="D384" s="48"/>
      <c r="E384" s="48"/>
      <c r="F384" s="48"/>
      <c r="G384" s="48"/>
      <c r="H384" s="48"/>
      <c r="I384" s="48"/>
      <c r="J384" s="48"/>
      <c r="K384" s="48"/>
      <c r="L384" s="48"/>
      <c r="M384" s="48"/>
      <c r="N384" s="48"/>
      <c r="O384" s="48"/>
      <c r="P384" s="48"/>
      <c r="Q384" s="48"/>
      <c r="R384" s="48"/>
      <c r="S384" s="48"/>
      <c r="T384" s="48"/>
      <c r="U384" s="48"/>
      <c r="V384" s="48"/>
    </row>
    <row r="385" spans="1:22">
      <c r="A385" s="48"/>
      <c r="B385" s="48"/>
      <c r="C385" s="48"/>
      <c r="D385" s="48"/>
      <c r="E385" s="48"/>
      <c r="F385" s="48"/>
      <c r="G385" s="48"/>
      <c r="H385" s="48"/>
      <c r="I385" s="48"/>
      <c r="J385" s="48"/>
      <c r="K385" s="48"/>
      <c r="L385" s="48"/>
      <c r="M385" s="48"/>
      <c r="N385" s="48"/>
      <c r="O385" s="48"/>
      <c r="P385" s="48"/>
      <c r="Q385" s="48"/>
      <c r="R385" s="48"/>
      <c r="S385" s="48"/>
      <c r="T385" s="48"/>
      <c r="U385" s="48"/>
      <c r="V385" s="48"/>
    </row>
    <row r="386" spans="1:22">
      <c r="A386" s="48"/>
      <c r="B386" s="48"/>
      <c r="C386" s="48"/>
      <c r="D386" s="48"/>
      <c r="E386" s="48"/>
      <c r="F386" s="48"/>
      <c r="G386" s="48"/>
      <c r="H386" s="48"/>
      <c r="I386" s="48"/>
      <c r="J386" s="48"/>
      <c r="K386" s="48"/>
      <c r="L386" s="48"/>
      <c r="M386" s="48"/>
      <c r="N386" s="48"/>
      <c r="O386" s="48"/>
      <c r="P386" s="48"/>
      <c r="Q386" s="48"/>
      <c r="R386" s="48"/>
      <c r="S386" s="48"/>
      <c r="T386" s="48"/>
      <c r="U386" s="48"/>
      <c r="V386" s="48"/>
    </row>
    <row r="387" spans="1:22">
      <c r="A387" s="48"/>
      <c r="B387" s="48"/>
      <c r="C387" s="48"/>
      <c r="D387" s="48"/>
      <c r="E387" s="48"/>
      <c r="F387" s="48"/>
      <c r="G387" s="48"/>
      <c r="H387" s="48"/>
      <c r="I387" s="48"/>
      <c r="J387" s="48"/>
      <c r="K387" s="48"/>
      <c r="L387" s="48"/>
      <c r="M387" s="48"/>
      <c r="N387" s="48"/>
      <c r="O387" s="48"/>
      <c r="P387" s="48"/>
      <c r="Q387" s="48"/>
      <c r="R387" s="48"/>
      <c r="S387" s="48"/>
      <c r="T387" s="48"/>
      <c r="U387" s="48"/>
      <c r="V387" s="48"/>
    </row>
    <row r="388" spans="1:22">
      <c r="A388" s="48"/>
      <c r="B388" s="48"/>
      <c r="C388" s="48"/>
      <c r="D388" s="48"/>
      <c r="E388" s="48"/>
      <c r="F388" s="48"/>
      <c r="G388" s="48"/>
      <c r="H388" s="48"/>
      <c r="I388" s="48"/>
      <c r="J388" s="48"/>
      <c r="K388" s="48"/>
      <c r="L388" s="48"/>
      <c r="M388" s="48"/>
      <c r="N388" s="48"/>
      <c r="O388" s="48"/>
      <c r="P388" s="48"/>
      <c r="Q388" s="48"/>
      <c r="R388" s="48"/>
      <c r="S388" s="48"/>
      <c r="T388" s="48"/>
      <c r="U388" s="48"/>
      <c r="V388" s="48"/>
    </row>
    <row r="389" spans="1:22">
      <c r="A389" s="48"/>
      <c r="B389" s="48"/>
      <c r="C389" s="48"/>
      <c r="D389" s="48"/>
      <c r="E389" s="48"/>
      <c r="F389" s="48"/>
      <c r="G389" s="48"/>
      <c r="H389" s="48"/>
      <c r="I389" s="48"/>
      <c r="J389" s="48"/>
      <c r="K389" s="48"/>
      <c r="L389" s="48"/>
      <c r="M389" s="48"/>
      <c r="N389" s="48"/>
      <c r="O389" s="48"/>
      <c r="P389" s="48"/>
      <c r="Q389" s="48"/>
      <c r="R389" s="48"/>
      <c r="S389" s="48"/>
      <c r="T389" s="48"/>
      <c r="U389" s="48"/>
      <c r="V389" s="48"/>
    </row>
    <row r="390" spans="1:22">
      <c r="A390" s="48"/>
      <c r="B390" s="48"/>
      <c r="C390" s="48"/>
      <c r="D390" s="48"/>
      <c r="E390" s="48"/>
      <c r="F390" s="48"/>
      <c r="G390" s="48"/>
      <c r="H390" s="48"/>
      <c r="I390" s="48"/>
      <c r="J390" s="48"/>
      <c r="K390" s="48"/>
      <c r="L390" s="48"/>
      <c r="M390" s="48"/>
      <c r="N390" s="48"/>
      <c r="O390" s="48"/>
      <c r="P390" s="48"/>
      <c r="Q390" s="48"/>
      <c r="R390" s="48"/>
      <c r="S390" s="48"/>
      <c r="T390" s="48"/>
      <c r="U390" s="48"/>
      <c r="V390" s="48"/>
    </row>
    <row r="391" spans="1:22">
      <c r="A391" s="48"/>
      <c r="B391" s="48"/>
      <c r="C391" s="48"/>
      <c r="D391" s="48"/>
      <c r="E391" s="48"/>
      <c r="F391" s="48"/>
      <c r="G391" s="48"/>
      <c r="H391" s="48"/>
      <c r="I391" s="48"/>
      <c r="J391" s="48"/>
      <c r="K391" s="48"/>
      <c r="L391" s="48"/>
      <c r="M391" s="48"/>
      <c r="N391" s="48"/>
      <c r="O391" s="48"/>
      <c r="P391" s="48"/>
      <c r="Q391" s="48"/>
      <c r="R391" s="48"/>
      <c r="S391" s="48"/>
      <c r="T391" s="48"/>
      <c r="U391" s="48"/>
      <c r="V391" s="48"/>
    </row>
    <row r="392" spans="1:22">
      <c r="A392" s="48"/>
      <c r="B392" s="48"/>
      <c r="C392" s="48"/>
      <c r="D392" s="48"/>
      <c r="E392" s="48"/>
      <c r="F392" s="48"/>
      <c r="G392" s="48"/>
      <c r="H392" s="48"/>
      <c r="I392" s="48"/>
      <c r="J392" s="48"/>
      <c r="K392" s="48"/>
      <c r="L392" s="48"/>
      <c r="M392" s="48"/>
      <c r="N392" s="48"/>
      <c r="O392" s="48"/>
      <c r="P392" s="48"/>
      <c r="Q392" s="48"/>
      <c r="R392" s="48"/>
      <c r="S392" s="48"/>
      <c r="T392" s="48"/>
      <c r="U392" s="48"/>
      <c r="V392" s="48"/>
    </row>
    <row r="393" spans="1:22">
      <c r="A393" s="48"/>
      <c r="B393" s="48"/>
      <c r="C393" s="48"/>
      <c r="D393" s="48"/>
      <c r="E393" s="48"/>
      <c r="F393" s="48"/>
      <c r="G393" s="48"/>
      <c r="H393" s="48"/>
      <c r="I393" s="48"/>
      <c r="J393" s="48"/>
      <c r="K393" s="48"/>
      <c r="L393" s="48"/>
      <c r="M393" s="48"/>
      <c r="N393" s="48"/>
      <c r="O393" s="48"/>
      <c r="P393" s="48"/>
      <c r="Q393" s="48"/>
      <c r="R393" s="48"/>
      <c r="S393" s="48"/>
      <c r="T393" s="48"/>
      <c r="U393" s="48"/>
      <c r="V393" s="48"/>
    </row>
    <row r="394" spans="1:22">
      <c r="A394" s="48"/>
      <c r="B394" s="48"/>
      <c r="C394" s="48"/>
      <c r="D394" s="48"/>
      <c r="E394" s="48"/>
      <c r="F394" s="48"/>
      <c r="G394" s="48"/>
      <c r="H394" s="48"/>
      <c r="I394" s="48"/>
      <c r="J394" s="48"/>
      <c r="K394" s="48"/>
      <c r="L394" s="48"/>
      <c r="M394" s="48"/>
      <c r="N394" s="48"/>
      <c r="O394" s="48"/>
      <c r="P394" s="48"/>
      <c r="Q394" s="48"/>
      <c r="R394" s="48"/>
      <c r="S394" s="48"/>
      <c r="T394" s="48"/>
      <c r="U394" s="48"/>
      <c r="V394" s="48"/>
    </row>
    <row r="395" spans="1:22">
      <c r="A395" s="48"/>
      <c r="B395" s="48"/>
      <c r="C395" s="48"/>
      <c r="D395" s="48"/>
      <c r="E395" s="48"/>
      <c r="F395" s="48"/>
      <c r="G395" s="48"/>
      <c r="H395" s="48"/>
      <c r="I395" s="48"/>
      <c r="J395" s="48"/>
      <c r="K395" s="48"/>
      <c r="L395" s="48"/>
      <c r="M395" s="48"/>
      <c r="N395" s="48"/>
      <c r="O395" s="48"/>
      <c r="P395" s="48"/>
      <c r="Q395" s="48"/>
      <c r="R395" s="48"/>
      <c r="S395" s="48"/>
      <c r="T395" s="48"/>
      <c r="U395" s="48"/>
      <c r="V395" s="48"/>
    </row>
    <row r="396" spans="1:22">
      <c r="A396" s="48"/>
      <c r="B396" s="48"/>
      <c r="C396" s="48"/>
      <c r="D396" s="48"/>
      <c r="E396" s="48"/>
      <c r="F396" s="48"/>
      <c r="G396" s="48"/>
      <c r="H396" s="48"/>
      <c r="I396" s="48"/>
      <c r="J396" s="48"/>
      <c r="K396" s="48"/>
      <c r="L396" s="48"/>
      <c r="M396" s="48"/>
      <c r="N396" s="48"/>
      <c r="O396" s="48"/>
      <c r="P396" s="48"/>
      <c r="Q396" s="48"/>
      <c r="R396" s="48"/>
      <c r="S396" s="48"/>
      <c r="T396" s="48"/>
      <c r="U396" s="48"/>
      <c r="V396" s="48"/>
    </row>
    <row r="397" spans="1:22">
      <c r="A397" s="48"/>
      <c r="B397" s="48"/>
      <c r="C397" s="48"/>
      <c r="D397" s="48"/>
      <c r="E397" s="48"/>
      <c r="F397" s="48"/>
      <c r="G397" s="48"/>
      <c r="H397" s="48"/>
      <c r="I397" s="48"/>
      <c r="J397" s="48"/>
      <c r="K397" s="48"/>
      <c r="L397" s="48"/>
      <c r="M397" s="48"/>
      <c r="N397" s="48"/>
      <c r="O397" s="48"/>
      <c r="P397" s="48"/>
      <c r="Q397" s="48"/>
      <c r="R397" s="48"/>
      <c r="S397" s="48"/>
      <c r="T397" s="48"/>
      <c r="U397" s="48"/>
      <c r="V397" s="48"/>
    </row>
    <row r="398" spans="1:22">
      <c r="A398" s="48"/>
      <c r="B398" s="48"/>
      <c r="C398" s="48"/>
      <c r="D398" s="48"/>
      <c r="E398" s="48"/>
      <c r="F398" s="48"/>
      <c r="G398" s="48"/>
      <c r="H398" s="48"/>
      <c r="I398" s="48"/>
      <c r="J398" s="48"/>
      <c r="K398" s="48"/>
      <c r="L398" s="48"/>
      <c r="M398" s="48"/>
      <c r="N398" s="48"/>
      <c r="O398" s="48"/>
      <c r="P398" s="48"/>
      <c r="Q398" s="48"/>
      <c r="R398" s="48"/>
      <c r="S398" s="48"/>
      <c r="T398" s="48"/>
      <c r="U398" s="48"/>
      <c r="V398" s="48"/>
    </row>
    <row r="399" spans="1:22">
      <c r="A399" s="48"/>
      <c r="B399" s="48"/>
      <c r="C399" s="48"/>
      <c r="D399" s="48"/>
      <c r="E399" s="48"/>
      <c r="F399" s="48"/>
      <c r="G399" s="48"/>
      <c r="H399" s="48"/>
      <c r="I399" s="48"/>
      <c r="J399" s="48"/>
      <c r="K399" s="48"/>
      <c r="L399" s="48"/>
      <c r="M399" s="48"/>
      <c r="N399" s="48"/>
      <c r="O399" s="48"/>
      <c r="P399" s="48"/>
      <c r="Q399" s="48"/>
      <c r="R399" s="48"/>
      <c r="S399" s="48"/>
      <c r="T399" s="48"/>
      <c r="U399" s="48"/>
      <c r="V399" s="48"/>
    </row>
    <row r="400" spans="1:22">
      <c r="A400" s="48"/>
      <c r="B400" s="48"/>
      <c r="C400" s="48"/>
      <c r="D400" s="48"/>
      <c r="E400" s="48"/>
      <c r="F400" s="48"/>
      <c r="G400" s="48"/>
      <c r="H400" s="48"/>
      <c r="I400" s="48"/>
      <c r="J400" s="48"/>
      <c r="K400" s="48"/>
      <c r="L400" s="48"/>
      <c r="M400" s="48"/>
      <c r="N400" s="48"/>
      <c r="O400" s="48"/>
      <c r="P400" s="48"/>
      <c r="Q400" s="48"/>
      <c r="R400" s="48"/>
      <c r="S400" s="48"/>
      <c r="T400" s="48"/>
      <c r="U400" s="48"/>
      <c r="V400" s="48"/>
    </row>
    <row r="401" spans="1:22">
      <c r="A401" s="48"/>
      <c r="B401" s="48"/>
      <c r="C401" s="48"/>
      <c r="D401" s="48"/>
      <c r="E401" s="48"/>
      <c r="F401" s="48"/>
      <c r="G401" s="48"/>
      <c r="H401" s="48"/>
      <c r="I401" s="48"/>
      <c r="J401" s="48"/>
      <c r="K401" s="48"/>
      <c r="L401" s="48"/>
      <c r="M401" s="48"/>
      <c r="N401" s="48"/>
      <c r="O401" s="48"/>
      <c r="P401" s="48"/>
      <c r="Q401" s="48"/>
      <c r="R401" s="48"/>
      <c r="S401" s="48"/>
      <c r="T401" s="48"/>
      <c r="U401" s="48"/>
      <c r="V401" s="48"/>
    </row>
    <row r="402" spans="1:22">
      <c r="A402" s="48"/>
      <c r="B402" s="48"/>
      <c r="C402" s="48"/>
      <c r="D402" s="48"/>
      <c r="E402" s="48"/>
      <c r="F402" s="48"/>
      <c r="G402" s="48"/>
      <c r="H402" s="48"/>
      <c r="I402" s="48"/>
      <c r="J402" s="48"/>
      <c r="K402" s="48"/>
      <c r="L402" s="48"/>
      <c r="M402" s="48"/>
      <c r="N402" s="48"/>
      <c r="O402" s="48"/>
      <c r="P402" s="48"/>
      <c r="Q402" s="48"/>
      <c r="R402" s="48"/>
      <c r="S402" s="48"/>
      <c r="T402" s="48"/>
      <c r="U402" s="48"/>
      <c r="V402" s="48"/>
    </row>
    <row r="403" spans="1:22">
      <c r="A403" s="48"/>
      <c r="B403" s="48"/>
      <c r="C403" s="48"/>
      <c r="D403" s="48"/>
      <c r="E403" s="48"/>
      <c r="F403" s="48"/>
      <c r="G403" s="48"/>
      <c r="H403" s="48"/>
      <c r="I403" s="48"/>
      <c r="J403" s="48"/>
      <c r="K403" s="48"/>
      <c r="L403" s="48"/>
      <c r="M403" s="48"/>
      <c r="N403" s="48"/>
      <c r="O403" s="48"/>
      <c r="P403" s="48"/>
      <c r="Q403" s="48"/>
      <c r="R403" s="48"/>
      <c r="S403" s="48"/>
      <c r="T403" s="48"/>
      <c r="U403" s="48"/>
      <c r="V403" s="48"/>
    </row>
    <row r="404" spans="1:22">
      <c r="A404" s="48"/>
      <c r="B404" s="48"/>
      <c r="C404" s="48"/>
      <c r="D404" s="48"/>
      <c r="E404" s="48"/>
      <c r="F404" s="48"/>
      <c r="G404" s="48"/>
      <c r="H404" s="48"/>
      <c r="I404" s="48"/>
      <c r="J404" s="48"/>
      <c r="K404" s="48"/>
      <c r="L404" s="48"/>
      <c r="M404" s="48"/>
      <c r="N404" s="48"/>
      <c r="O404" s="48"/>
      <c r="P404" s="48"/>
      <c r="Q404" s="48"/>
      <c r="R404" s="48"/>
      <c r="S404" s="48"/>
      <c r="T404" s="48"/>
      <c r="U404" s="48"/>
      <c r="V404" s="48"/>
    </row>
    <row r="405" spans="1:22">
      <c r="A405" s="48"/>
      <c r="B405" s="48"/>
      <c r="C405" s="48"/>
      <c r="D405" s="48"/>
      <c r="E405" s="48"/>
      <c r="F405" s="48"/>
      <c r="G405" s="48"/>
      <c r="H405" s="48"/>
      <c r="I405" s="48"/>
      <c r="J405" s="48"/>
      <c r="K405" s="48"/>
      <c r="L405" s="48"/>
      <c r="M405" s="48"/>
      <c r="N405" s="48"/>
      <c r="O405" s="48"/>
      <c r="P405" s="48"/>
      <c r="Q405" s="48"/>
      <c r="R405" s="48"/>
      <c r="S405" s="48"/>
      <c r="T405" s="48"/>
      <c r="U405" s="48"/>
      <c r="V405" s="48"/>
    </row>
    <row r="406" spans="1:22">
      <c r="A406" s="48"/>
      <c r="B406" s="48"/>
      <c r="C406" s="48"/>
      <c r="D406" s="48"/>
      <c r="E406" s="48"/>
      <c r="F406" s="48"/>
      <c r="G406" s="48"/>
      <c r="H406" s="48"/>
      <c r="I406" s="48"/>
      <c r="J406" s="48"/>
      <c r="K406" s="48"/>
      <c r="L406" s="48"/>
      <c r="M406" s="48"/>
      <c r="N406" s="48"/>
      <c r="O406" s="48"/>
      <c r="P406" s="48"/>
      <c r="Q406" s="48"/>
      <c r="R406" s="48"/>
      <c r="S406" s="48"/>
      <c r="T406" s="48"/>
      <c r="U406" s="48"/>
      <c r="V406" s="48"/>
    </row>
    <row r="407" spans="1:22">
      <c r="A407" s="48"/>
      <c r="B407" s="48"/>
      <c r="C407" s="48"/>
      <c r="D407" s="48"/>
      <c r="E407" s="48"/>
      <c r="F407" s="48"/>
      <c r="G407" s="48"/>
      <c r="H407" s="48"/>
      <c r="I407" s="48"/>
      <c r="J407" s="48"/>
      <c r="K407" s="48"/>
      <c r="L407" s="48"/>
      <c r="M407" s="48"/>
      <c r="N407" s="48"/>
      <c r="O407" s="48"/>
      <c r="P407" s="48"/>
      <c r="Q407" s="48"/>
      <c r="R407" s="48"/>
      <c r="S407" s="48"/>
      <c r="T407" s="48"/>
      <c r="U407" s="48"/>
      <c r="V407" s="48"/>
    </row>
    <row r="408" spans="1:22">
      <c r="A408" s="48"/>
      <c r="B408" s="48"/>
      <c r="C408" s="48"/>
      <c r="D408" s="48"/>
      <c r="E408" s="48"/>
      <c r="F408" s="48"/>
      <c r="G408" s="48"/>
      <c r="H408" s="48"/>
      <c r="I408" s="48"/>
      <c r="J408" s="48"/>
      <c r="K408" s="48"/>
      <c r="L408" s="48"/>
      <c r="M408" s="48"/>
      <c r="N408" s="48"/>
      <c r="O408" s="48"/>
      <c r="P408" s="48"/>
      <c r="Q408" s="48"/>
      <c r="R408" s="48"/>
      <c r="S408" s="48"/>
      <c r="T408" s="48"/>
      <c r="U408" s="48"/>
      <c r="V408" s="48"/>
    </row>
    <row r="409" spans="1:22">
      <c r="A409" s="48"/>
      <c r="B409" s="48"/>
      <c r="C409" s="48"/>
      <c r="D409" s="48"/>
      <c r="E409" s="48"/>
      <c r="F409" s="48"/>
      <c r="G409" s="48"/>
      <c r="H409" s="48"/>
      <c r="I409" s="48"/>
      <c r="J409" s="48"/>
      <c r="K409" s="48"/>
      <c r="L409" s="48"/>
      <c r="M409" s="48"/>
      <c r="N409" s="48"/>
      <c r="O409" s="48"/>
      <c r="P409" s="48"/>
      <c r="Q409" s="48"/>
      <c r="R409" s="48"/>
      <c r="S409" s="48"/>
      <c r="T409" s="48"/>
      <c r="U409" s="48"/>
      <c r="V409" s="48"/>
    </row>
    <row r="410" spans="1:22">
      <c r="A410" s="48"/>
      <c r="B410" s="48"/>
      <c r="C410" s="48"/>
      <c r="D410" s="48"/>
      <c r="E410" s="48"/>
      <c r="F410" s="48"/>
      <c r="G410" s="48"/>
      <c r="H410" s="48"/>
      <c r="I410" s="48"/>
      <c r="J410" s="48"/>
      <c r="K410" s="48"/>
      <c r="L410" s="48"/>
      <c r="M410" s="48"/>
      <c r="N410" s="48"/>
      <c r="O410" s="48"/>
      <c r="P410" s="48"/>
      <c r="Q410" s="48"/>
      <c r="R410" s="48"/>
      <c r="S410" s="48"/>
      <c r="T410" s="48"/>
      <c r="U410" s="48"/>
      <c r="V410" s="48"/>
    </row>
    <row r="411" spans="1:22">
      <c r="A411" s="48"/>
      <c r="B411" s="48"/>
      <c r="C411" s="48"/>
      <c r="D411" s="48"/>
      <c r="E411" s="48"/>
      <c r="F411" s="48"/>
      <c r="G411" s="48"/>
      <c r="H411" s="48"/>
      <c r="I411" s="48"/>
      <c r="J411" s="48"/>
      <c r="K411" s="48"/>
      <c r="L411" s="48"/>
      <c r="M411" s="48"/>
      <c r="N411" s="48"/>
      <c r="O411" s="48"/>
      <c r="P411" s="48"/>
      <c r="Q411" s="48"/>
      <c r="R411" s="48"/>
      <c r="S411" s="48"/>
      <c r="T411" s="48"/>
      <c r="U411" s="48"/>
      <c r="V411" s="48"/>
    </row>
    <row r="412" spans="1:22">
      <c r="A412" s="48"/>
      <c r="B412" s="48"/>
      <c r="C412" s="48"/>
      <c r="D412" s="48"/>
      <c r="E412" s="48"/>
      <c r="F412" s="48"/>
      <c r="G412" s="48"/>
      <c r="H412" s="48"/>
      <c r="I412" s="48"/>
      <c r="J412" s="48"/>
      <c r="K412" s="48"/>
      <c r="L412" s="48"/>
      <c r="M412" s="48"/>
      <c r="N412" s="48"/>
      <c r="O412" s="48"/>
      <c r="P412" s="48"/>
      <c r="Q412" s="48"/>
      <c r="R412" s="48"/>
      <c r="S412" s="48"/>
      <c r="T412" s="48"/>
      <c r="U412" s="48"/>
      <c r="V412" s="48"/>
    </row>
    <row r="413" spans="1:22">
      <c r="A413" s="48"/>
      <c r="B413" s="48"/>
      <c r="C413" s="48"/>
      <c r="D413" s="48"/>
      <c r="E413" s="48"/>
      <c r="F413" s="48"/>
      <c r="G413" s="48"/>
      <c r="H413" s="48"/>
      <c r="I413" s="48"/>
      <c r="J413" s="48"/>
      <c r="K413" s="48"/>
      <c r="L413" s="48"/>
      <c r="M413" s="48"/>
      <c r="N413" s="48"/>
      <c r="O413" s="48"/>
      <c r="P413" s="48"/>
      <c r="Q413" s="48"/>
      <c r="R413" s="48"/>
      <c r="S413" s="48"/>
      <c r="T413" s="48"/>
      <c r="U413" s="48"/>
      <c r="V413" s="48"/>
    </row>
    <row r="414" spans="1:22">
      <c r="A414" s="48"/>
      <c r="B414" s="48"/>
      <c r="C414" s="48"/>
      <c r="D414" s="48"/>
      <c r="E414" s="48"/>
      <c r="F414" s="48"/>
      <c r="G414" s="48"/>
      <c r="H414" s="48"/>
      <c r="I414" s="48"/>
      <c r="J414" s="48"/>
      <c r="K414" s="48"/>
      <c r="L414" s="48"/>
      <c r="M414" s="48"/>
      <c r="N414" s="48"/>
      <c r="O414" s="48"/>
      <c r="P414" s="48"/>
      <c r="Q414" s="48"/>
      <c r="R414" s="48"/>
      <c r="S414" s="48"/>
      <c r="T414" s="48"/>
      <c r="U414" s="48"/>
      <c r="V414" s="48"/>
    </row>
    <row r="415" spans="1:22">
      <c r="A415" s="48"/>
      <c r="B415" s="48"/>
      <c r="C415" s="48"/>
      <c r="D415" s="48"/>
      <c r="E415" s="48"/>
      <c r="F415" s="48"/>
      <c r="G415" s="48"/>
      <c r="H415" s="48"/>
      <c r="I415" s="48"/>
      <c r="J415" s="48"/>
      <c r="K415" s="48"/>
      <c r="L415" s="48"/>
      <c r="M415" s="48"/>
      <c r="N415" s="48"/>
      <c r="O415" s="48"/>
      <c r="P415" s="48"/>
      <c r="Q415" s="48"/>
      <c r="R415" s="48"/>
      <c r="S415" s="48"/>
      <c r="T415" s="48"/>
      <c r="U415" s="48"/>
      <c r="V415" s="48"/>
    </row>
    <row r="416" spans="1:22">
      <c r="A416" s="48"/>
      <c r="B416" s="48"/>
      <c r="C416" s="48"/>
      <c r="D416" s="48"/>
      <c r="E416" s="48"/>
      <c r="F416" s="48"/>
      <c r="G416" s="48"/>
      <c r="H416" s="48"/>
      <c r="I416" s="48"/>
      <c r="J416" s="48"/>
      <c r="K416" s="48"/>
      <c r="L416" s="48"/>
      <c r="M416" s="48"/>
      <c r="N416" s="48"/>
      <c r="O416" s="48"/>
      <c r="P416" s="48"/>
      <c r="Q416" s="48"/>
      <c r="R416" s="48"/>
      <c r="S416" s="48"/>
      <c r="T416" s="48"/>
      <c r="U416" s="48"/>
      <c r="V416" s="48"/>
    </row>
    <row r="417" spans="1:22">
      <c r="A417" s="48"/>
      <c r="B417" s="48"/>
      <c r="C417" s="48"/>
      <c r="D417" s="48"/>
      <c r="E417" s="48"/>
      <c r="F417" s="48"/>
      <c r="G417" s="48"/>
      <c r="H417" s="48"/>
      <c r="I417" s="48"/>
      <c r="J417" s="48"/>
      <c r="K417" s="48"/>
      <c r="L417" s="48"/>
      <c r="M417" s="48"/>
      <c r="N417" s="48"/>
      <c r="O417" s="48"/>
      <c r="P417" s="48"/>
      <c r="Q417" s="48"/>
      <c r="R417" s="48"/>
      <c r="S417" s="48"/>
      <c r="T417" s="48"/>
      <c r="U417" s="48"/>
      <c r="V417" s="48"/>
    </row>
    <row r="418" spans="1:22">
      <c r="A418" s="48"/>
      <c r="B418" s="48"/>
      <c r="C418" s="48"/>
      <c r="D418" s="48"/>
      <c r="E418" s="48"/>
      <c r="F418" s="48"/>
      <c r="G418" s="48"/>
      <c r="H418" s="48"/>
      <c r="I418" s="48"/>
      <c r="J418" s="48"/>
      <c r="K418" s="48"/>
      <c r="L418" s="48"/>
      <c r="M418" s="48"/>
      <c r="N418" s="48"/>
      <c r="O418" s="48"/>
      <c r="P418" s="48"/>
      <c r="Q418" s="48"/>
      <c r="R418" s="48"/>
      <c r="S418" s="48"/>
      <c r="T418" s="48"/>
      <c r="U418" s="48"/>
      <c r="V418" s="48"/>
    </row>
    <row r="419" spans="1:22">
      <c r="A419" s="48"/>
      <c r="B419" s="48"/>
      <c r="C419" s="48"/>
      <c r="D419" s="48"/>
      <c r="E419" s="48"/>
      <c r="F419" s="48"/>
      <c r="G419" s="48"/>
      <c r="H419" s="48"/>
      <c r="I419" s="48"/>
      <c r="J419" s="48"/>
      <c r="K419" s="48"/>
      <c r="L419" s="48"/>
      <c r="M419" s="48"/>
      <c r="N419" s="48"/>
      <c r="O419" s="48"/>
      <c r="P419" s="48"/>
      <c r="Q419" s="48"/>
      <c r="R419" s="48"/>
      <c r="S419" s="48"/>
      <c r="T419" s="48"/>
      <c r="U419" s="48"/>
      <c r="V419" s="48"/>
    </row>
    <row r="420" spans="1:22">
      <c r="A420" s="48"/>
      <c r="B420" s="48"/>
      <c r="C420" s="48"/>
      <c r="D420" s="48"/>
      <c r="E420" s="48"/>
      <c r="F420" s="48"/>
      <c r="G420" s="48"/>
      <c r="H420" s="48"/>
      <c r="I420" s="48"/>
      <c r="J420" s="48"/>
      <c r="K420" s="48"/>
      <c r="L420" s="48"/>
      <c r="M420" s="48"/>
      <c r="N420" s="48"/>
      <c r="O420" s="48"/>
      <c r="P420" s="48"/>
      <c r="Q420" s="48"/>
      <c r="R420" s="48"/>
      <c r="S420" s="48"/>
      <c r="T420" s="48"/>
      <c r="U420" s="48"/>
      <c r="V420" s="48"/>
    </row>
    <row r="421" spans="1:22">
      <c r="A421" s="48"/>
      <c r="B421" s="48"/>
      <c r="C421" s="48"/>
      <c r="D421" s="48"/>
      <c r="E421" s="48"/>
      <c r="F421" s="48"/>
      <c r="G421" s="48"/>
      <c r="H421" s="48"/>
      <c r="I421" s="48"/>
      <c r="J421" s="48"/>
      <c r="K421" s="48"/>
      <c r="L421" s="48"/>
      <c r="M421" s="48"/>
      <c r="N421" s="48"/>
      <c r="O421" s="48"/>
      <c r="P421" s="48"/>
      <c r="Q421" s="48"/>
      <c r="R421" s="48"/>
      <c r="S421" s="48"/>
      <c r="T421" s="48"/>
      <c r="U421" s="48"/>
      <c r="V421" s="48"/>
    </row>
    <row r="422" spans="1:22">
      <c r="A422" s="48"/>
      <c r="B422" s="48"/>
      <c r="C422" s="48"/>
      <c r="D422" s="48"/>
      <c r="E422" s="48"/>
      <c r="F422" s="48"/>
      <c r="G422" s="48"/>
      <c r="H422" s="48"/>
      <c r="I422" s="48"/>
      <c r="J422" s="48"/>
      <c r="K422" s="48"/>
      <c r="L422" s="48"/>
      <c r="M422" s="48"/>
      <c r="N422" s="48"/>
      <c r="O422" s="48"/>
      <c r="P422" s="48"/>
      <c r="Q422" s="48"/>
      <c r="R422" s="48"/>
      <c r="S422" s="48"/>
      <c r="T422" s="48"/>
      <c r="U422" s="48"/>
      <c r="V422" s="48"/>
    </row>
    <row r="423" spans="1:22">
      <c r="A423" s="48"/>
      <c r="B423" s="48"/>
      <c r="C423" s="48"/>
      <c r="D423" s="48"/>
      <c r="E423" s="48"/>
      <c r="F423" s="48"/>
      <c r="G423" s="48"/>
      <c r="H423" s="48"/>
      <c r="I423" s="48"/>
      <c r="J423" s="48"/>
      <c r="K423" s="48"/>
      <c r="L423" s="48"/>
      <c r="M423" s="48"/>
      <c r="N423" s="48"/>
      <c r="O423" s="48"/>
      <c r="P423" s="48"/>
      <c r="Q423" s="48"/>
      <c r="R423" s="48"/>
      <c r="S423" s="48"/>
      <c r="T423" s="48"/>
      <c r="U423" s="48"/>
      <c r="V423" s="48"/>
    </row>
    <row r="424" spans="1:22">
      <c r="A424" s="48"/>
      <c r="B424" s="48"/>
      <c r="C424" s="48"/>
      <c r="D424" s="48"/>
      <c r="E424" s="48"/>
      <c r="F424" s="48"/>
      <c r="G424" s="48"/>
      <c r="H424" s="48"/>
      <c r="I424" s="48"/>
      <c r="J424" s="48"/>
      <c r="K424" s="48"/>
      <c r="L424" s="48"/>
      <c r="M424" s="48"/>
      <c r="N424" s="48"/>
      <c r="O424" s="48"/>
      <c r="P424" s="48"/>
      <c r="Q424" s="48"/>
      <c r="R424" s="48"/>
      <c r="S424" s="48"/>
      <c r="T424" s="48"/>
      <c r="U424" s="48"/>
      <c r="V424" s="48"/>
    </row>
    <row r="425" spans="1:22">
      <c r="A425" s="48"/>
      <c r="B425" s="48"/>
      <c r="C425" s="48"/>
      <c r="D425" s="48"/>
      <c r="E425" s="48"/>
      <c r="F425" s="48"/>
      <c r="G425" s="48"/>
      <c r="H425" s="48"/>
      <c r="I425" s="48"/>
      <c r="J425" s="48"/>
      <c r="K425" s="48"/>
      <c r="L425" s="48"/>
      <c r="M425" s="48"/>
      <c r="N425" s="48"/>
      <c r="O425" s="48"/>
      <c r="P425" s="48"/>
      <c r="Q425" s="48"/>
      <c r="R425" s="48"/>
      <c r="S425" s="48"/>
      <c r="T425" s="48"/>
      <c r="U425" s="48"/>
      <c r="V425" s="48"/>
    </row>
    <row r="426" spans="1:22">
      <c r="A426" s="48"/>
      <c r="B426" s="48"/>
      <c r="C426" s="48"/>
      <c r="D426" s="48"/>
      <c r="E426" s="48"/>
      <c r="F426" s="48"/>
      <c r="G426" s="48"/>
      <c r="H426" s="48"/>
      <c r="I426" s="48"/>
      <c r="J426" s="48"/>
      <c r="K426" s="48"/>
      <c r="L426" s="48"/>
      <c r="M426" s="48"/>
      <c r="N426" s="48"/>
      <c r="O426" s="48"/>
      <c r="P426" s="48"/>
      <c r="Q426" s="48"/>
      <c r="R426" s="48"/>
      <c r="S426" s="48"/>
      <c r="T426" s="48"/>
      <c r="U426" s="48"/>
      <c r="V426" s="48"/>
    </row>
    <row r="427" spans="1:22">
      <c r="A427" s="48"/>
      <c r="B427" s="48"/>
      <c r="C427" s="48"/>
      <c r="D427" s="48"/>
      <c r="E427" s="48"/>
      <c r="F427" s="48"/>
      <c r="G427" s="48"/>
      <c r="H427" s="48"/>
      <c r="I427" s="48"/>
      <c r="J427" s="48"/>
      <c r="K427" s="48"/>
      <c r="L427" s="48"/>
      <c r="M427" s="48"/>
      <c r="N427" s="48"/>
      <c r="O427" s="48"/>
      <c r="P427" s="48"/>
      <c r="Q427" s="48"/>
      <c r="R427" s="48"/>
      <c r="S427" s="48"/>
      <c r="T427" s="48"/>
      <c r="U427" s="48"/>
      <c r="V427" s="48"/>
    </row>
    <row r="428" spans="1:22">
      <c r="A428" s="48"/>
      <c r="B428" s="48"/>
      <c r="C428" s="48"/>
      <c r="D428" s="48"/>
      <c r="E428" s="48"/>
      <c r="F428" s="48"/>
      <c r="G428" s="48"/>
      <c r="H428" s="48"/>
      <c r="I428" s="48"/>
      <c r="J428" s="48"/>
      <c r="K428" s="48"/>
      <c r="L428" s="48"/>
      <c r="M428" s="48"/>
      <c r="N428" s="48"/>
      <c r="O428" s="48"/>
      <c r="P428" s="48"/>
      <c r="Q428" s="48"/>
      <c r="R428" s="48"/>
      <c r="S428" s="48"/>
      <c r="T428" s="48"/>
      <c r="U428" s="48"/>
      <c r="V428" s="48"/>
    </row>
    <row r="429" spans="1:22">
      <c r="A429" s="48"/>
      <c r="B429" s="48"/>
      <c r="C429" s="48"/>
      <c r="D429" s="48"/>
      <c r="E429" s="48"/>
      <c r="F429" s="48"/>
      <c r="G429" s="48"/>
      <c r="H429" s="48"/>
      <c r="I429" s="48"/>
      <c r="J429" s="48"/>
      <c r="K429" s="48"/>
      <c r="L429" s="48"/>
      <c r="M429" s="48"/>
      <c r="N429" s="48"/>
      <c r="O429" s="48"/>
      <c r="P429" s="48"/>
      <c r="Q429" s="48"/>
      <c r="R429" s="48"/>
      <c r="S429" s="48"/>
      <c r="T429" s="48"/>
      <c r="U429" s="48"/>
      <c r="V429" s="48"/>
    </row>
    <row r="430" spans="1:22">
      <c r="A430" s="48"/>
      <c r="B430" s="48"/>
      <c r="C430" s="48"/>
      <c r="D430" s="48"/>
      <c r="E430" s="48"/>
      <c r="F430" s="48"/>
      <c r="G430" s="48"/>
      <c r="H430" s="48"/>
      <c r="I430" s="48"/>
      <c r="J430" s="48"/>
      <c r="K430" s="48"/>
      <c r="L430" s="48"/>
      <c r="M430" s="48"/>
      <c r="N430" s="48"/>
      <c r="O430" s="48"/>
      <c r="P430" s="48"/>
      <c r="Q430" s="48"/>
      <c r="R430" s="48"/>
      <c r="S430" s="48"/>
      <c r="T430" s="48"/>
      <c r="U430" s="48"/>
      <c r="V430" s="48"/>
    </row>
    <row r="431" spans="1:22">
      <c r="A431" s="48"/>
      <c r="B431" s="48"/>
      <c r="C431" s="48"/>
      <c r="D431" s="48"/>
      <c r="E431" s="48"/>
      <c r="F431" s="48"/>
      <c r="G431" s="48"/>
      <c r="H431" s="48"/>
      <c r="I431" s="48"/>
      <c r="J431" s="48"/>
      <c r="K431" s="48"/>
      <c r="L431" s="48"/>
      <c r="M431" s="48"/>
      <c r="N431" s="48"/>
      <c r="O431" s="48"/>
      <c r="P431" s="48"/>
      <c r="Q431" s="48"/>
      <c r="R431" s="48"/>
      <c r="S431" s="48"/>
      <c r="T431" s="48"/>
      <c r="U431" s="48"/>
      <c r="V431" s="48"/>
    </row>
    <row r="432" spans="1:22">
      <c r="A432" s="48"/>
      <c r="B432" s="48"/>
      <c r="C432" s="48"/>
      <c r="D432" s="48"/>
      <c r="E432" s="48"/>
      <c r="F432" s="48"/>
      <c r="G432" s="48"/>
      <c r="H432" s="48"/>
      <c r="I432" s="48"/>
      <c r="J432" s="48"/>
      <c r="K432" s="48"/>
      <c r="L432" s="48"/>
      <c r="M432" s="48"/>
      <c r="N432" s="48"/>
      <c r="O432" s="48"/>
      <c r="P432" s="48"/>
      <c r="Q432" s="48"/>
      <c r="R432" s="48"/>
      <c r="S432" s="48"/>
      <c r="T432" s="48"/>
      <c r="U432" s="48"/>
      <c r="V432" s="48"/>
    </row>
    <row r="433" spans="1:22">
      <c r="A433" s="48"/>
      <c r="B433" s="48"/>
      <c r="C433" s="48"/>
      <c r="D433" s="48"/>
      <c r="E433" s="48"/>
      <c r="F433" s="48"/>
      <c r="G433" s="48"/>
      <c r="H433" s="48"/>
      <c r="I433" s="48"/>
      <c r="J433" s="48"/>
      <c r="K433" s="48"/>
      <c r="L433" s="48"/>
      <c r="M433" s="48"/>
      <c r="N433" s="48"/>
      <c r="O433" s="48"/>
      <c r="P433" s="48"/>
      <c r="Q433" s="48"/>
      <c r="R433" s="48"/>
      <c r="S433" s="48"/>
      <c r="T433" s="48"/>
      <c r="U433" s="48"/>
      <c r="V433" s="48"/>
    </row>
    <row r="434" spans="1:22">
      <c r="A434" s="48"/>
      <c r="B434" s="48"/>
      <c r="C434" s="48"/>
      <c r="D434" s="48"/>
      <c r="E434" s="48"/>
      <c r="F434" s="48"/>
      <c r="G434" s="48"/>
      <c r="H434" s="48"/>
      <c r="I434" s="48"/>
      <c r="J434" s="48"/>
      <c r="K434" s="48"/>
      <c r="L434" s="48"/>
      <c r="M434" s="48"/>
      <c r="N434" s="48"/>
      <c r="O434" s="48"/>
      <c r="P434" s="48"/>
      <c r="Q434" s="48"/>
      <c r="R434" s="48"/>
      <c r="S434" s="48"/>
      <c r="T434" s="48"/>
      <c r="U434" s="48"/>
      <c r="V434" s="48"/>
    </row>
    <row r="435" spans="1:22">
      <c r="A435" s="48"/>
      <c r="B435" s="48"/>
      <c r="C435" s="48"/>
      <c r="D435" s="48"/>
      <c r="E435" s="48"/>
      <c r="F435" s="48"/>
      <c r="G435" s="48"/>
      <c r="H435" s="48"/>
      <c r="I435" s="48"/>
      <c r="J435" s="48"/>
      <c r="K435" s="48"/>
      <c r="L435" s="48"/>
      <c r="M435" s="48"/>
      <c r="N435" s="48"/>
      <c r="O435" s="48"/>
      <c r="P435" s="48"/>
      <c r="Q435" s="48"/>
      <c r="R435" s="48"/>
      <c r="S435" s="48"/>
      <c r="T435" s="48"/>
      <c r="U435" s="48"/>
      <c r="V435" s="48"/>
    </row>
    <row r="436" spans="1:22">
      <c r="A436" s="48"/>
      <c r="B436" s="48"/>
      <c r="C436" s="48"/>
      <c r="D436" s="48"/>
      <c r="E436" s="48"/>
      <c r="F436" s="48"/>
      <c r="G436" s="48"/>
      <c r="H436" s="48"/>
      <c r="I436" s="48"/>
      <c r="J436" s="48"/>
      <c r="K436" s="48"/>
      <c r="L436" s="48"/>
      <c r="M436" s="48"/>
      <c r="N436" s="48"/>
      <c r="O436" s="48"/>
      <c r="P436" s="48"/>
      <c r="Q436" s="48"/>
      <c r="R436" s="48"/>
      <c r="S436" s="48"/>
      <c r="T436" s="48"/>
      <c r="U436" s="48"/>
      <c r="V436" s="48"/>
    </row>
    <row r="437" spans="1:22">
      <c r="A437" s="48"/>
      <c r="B437" s="48"/>
      <c r="C437" s="48"/>
      <c r="D437" s="48"/>
      <c r="E437" s="48"/>
      <c r="F437" s="48"/>
      <c r="G437" s="48"/>
      <c r="H437" s="48"/>
      <c r="I437" s="48"/>
      <c r="J437" s="48"/>
      <c r="K437" s="48"/>
      <c r="L437" s="48"/>
      <c r="M437" s="48"/>
      <c r="N437" s="48"/>
      <c r="O437" s="48"/>
      <c r="P437" s="48"/>
      <c r="Q437" s="48"/>
      <c r="R437" s="48"/>
      <c r="S437" s="48"/>
      <c r="T437" s="48"/>
      <c r="U437" s="48"/>
      <c r="V437" s="48"/>
    </row>
    <row r="438" spans="1:22">
      <c r="A438" s="48"/>
      <c r="B438" s="48"/>
      <c r="C438" s="48"/>
      <c r="D438" s="48"/>
      <c r="E438" s="48"/>
      <c r="F438" s="48"/>
      <c r="G438" s="48"/>
      <c r="H438" s="48"/>
      <c r="I438" s="48"/>
      <c r="J438" s="48"/>
      <c r="K438" s="48"/>
      <c r="L438" s="48"/>
      <c r="M438" s="48"/>
      <c r="N438" s="48"/>
      <c r="O438" s="48"/>
      <c r="P438" s="48"/>
      <c r="Q438" s="48"/>
      <c r="R438" s="48"/>
      <c r="S438" s="48"/>
      <c r="T438" s="48"/>
      <c r="U438" s="48"/>
      <c r="V438" s="48"/>
    </row>
    <row r="439" spans="1:22">
      <c r="A439" s="48"/>
      <c r="B439" s="48"/>
      <c r="C439" s="48"/>
      <c r="D439" s="48"/>
      <c r="E439" s="48"/>
      <c r="F439" s="48"/>
      <c r="G439" s="48"/>
      <c r="H439" s="48"/>
      <c r="I439" s="48"/>
      <c r="J439" s="48"/>
      <c r="K439" s="48"/>
      <c r="L439" s="48"/>
      <c r="M439" s="48"/>
      <c r="N439" s="48"/>
      <c r="O439" s="48"/>
      <c r="P439" s="48"/>
      <c r="Q439" s="48"/>
      <c r="R439" s="48"/>
      <c r="S439" s="48"/>
      <c r="T439" s="48"/>
      <c r="U439" s="48"/>
      <c r="V439" s="48"/>
    </row>
    <row r="440" spans="1:22">
      <c r="A440" s="48"/>
      <c r="B440" s="48"/>
      <c r="C440" s="48"/>
      <c r="D440" s="48"/>
      <c r="E440" s="48"/>
      <c r="F440" s="48"/>
      <c r="G440" s="48"/>
      <c r="H440" s="48"/>
      <c r="I440" s="48"/>
      <c r="J440" s="48"/>
      <c r="K440" s="48"/>
      <c r="L440" s="48"/>
      <c r="M440" s="48"/>
      <c r="N440" s="48"/>
      <c r="O440" s="48"/>
      <c r="P440" s="48"/>
      <c r="Q440" s="48"/>
      <c r="R440" s="48"/>
      <c r="S440" s="48"/>
      <c r="T440" s="48"/>
      <c r="U440" s="48"/>
      <c r="V440" s="48"/>
    </row>
    <row r="441" spans="1:22">
      <c r="A441" s="48"/>
      <c r="B441" s="48"/>
      <c r="C441" s="48"/>
      <c r="D441" s="48"/>
      <c r="E441" s="48"/>
      <c r="F441" s="48"/>
      <c r="G441" s="48"/>
      <c r="H441" s="48"/>
      <c r="I441" s="48"/>
      <c r="J441" s="48"/>
      <c r="K441" s="48"/>
      <c r="L441" s="48"/>
      <c r="M441" s="48"/>
      <c r="N441" s="48"/>
      <c r="O441" s="48"/>
      <c r="P441" s="48"/>
      <c r="Q441" s="48"/>
      <c r="R441" s="48"/>
      <c r="S441" s="48"/>
      <c r="T441" s="48"/>
      <c r="U441" s="48"/>
      <c r="V441" s="48"/>
    </row>
    <row r="442" spans="1:22">
      <c r="A442" s="48"/>
      <c r="B442" s="48"/>
      <c r="C442" s="48"/>
      <c r="D442" s="48"/>
      <c r="E442" s="48"/>
      <c r="F442" s="48"/>
      <c r="G442" s="48"/>
      <c r="H442" s="48"/>
      <c r="I442" s="48"/>
      <c r="J442" s="48"/>
      <c r="K442" s="48"/>
      <c r="L442" s="48"/>
      <c r="M442" s="48"/>
      <c r="N442" s="48"/>
      <c r="O442" s="48"/>
      <c r="P442" s="48"/>
      <c r="Q442" s="48"/>
      <c r="R442" s="48"/>
      <c r="S442" s="48"/>
      <c r="T442" s="48"/>
      <c r="U442" s="48"/>
      <c r="V442" s="48"/>
    </row>
    <row r="443" spans="1:22">
      <c r="A443" s="48"/>
      <c r="B443" s="48"/>
      <c r="C443" s="48"/>
      <c r="D443" s="48"/>
      <c r="E443" s="48"/>
      <c r="F443" s="48"/>
      <c r="G443" s="48"/>
      <c r="H443" s="48"/>
      <c r="I443" s="48"/>
      <c r="J443" s="48"/>
      <c r="K443" s="48"/>
      <c r="L443" s="48"/>
      <c r="M443" s="48"/>
      <c r="N443" s="48"/>
      <c r="O443" s="48"/>
      <c r="P443" s="48"/>
      <c r="Q443" s="48"/>
      <c r="R443" s="48"/>
      <c r="S443" s="48"/>
      <c r="T443" s="48"/>
      <c r="U443" s="48"/>
      <c r="V443" s="48"/>
    </row>
    <row r="444" spans="1:22">
      <c r="A444" s="48"/>
      <c r="B444" s="48"/>
      <c r="C444" s="48"/>
      <c r="D444" s="48"/>
      <c r="E444" s="48"/>
      <c r="F444" s="48"/>
      <c r="G444" s="48"/>
      <c r="H444" s="48"/>
      <c r="I444" s="48"/>
      <c r="J444" s="48"/>
      <c r="K444" s="48"/>
      <c r="L444" s="48"/>
      <c r="M444" s="48"/>
      <c r="N444" s="48"/>
      <c r="O444" s="48"/>
      <c r="P444" s="48"/>
      <c r="Q444" s="48"/>
      <c r="R444" s="48"/>
      <c r="S444" s="48"/>
      <c r="T444" s="48"/>
      <c r="U444" s="48"/>
      <c r="V444" s="48"/>
    </row>
    <row r="445" spans="1:22">
      <c r="A445" s="48"/>
      <c r="B445" s="48"/>
      <c r="C445" s="48"/>
      <c r="D445" s="48"/>
      <c r="E445" s="48"/>
      <c r="F445" s="48"/>
      <c r="G445" s="48"/>
      <c r="H445" s="48"/>
      <c r="I445" s="48"/>
      <c r="J445" s="48"/>
      <c r="K445" s="48"/>
      <c r="L445" s="48"/>
      <c r="M445" s="48"/>
      <c r="N445" s="48"/>
      <c r="O445" s="48"/>
      <c r="P445" s="48"/>
      <c r="Q445" s="48"/>
      <c r="R445" s="48"/>
      <c r="S445" s="48"/>
      <c r="T445" s="48"/>
      <c r="U445" s="48"/>
      <c r="V445" s="48"/>
    </row>
    <row r="446" spans="1:22">
      <c r="A446" s="48"/>
      <c r="B446" s="48"/>
      <c r="C446" s="48"/>
      <c r="D446" s="48"/>
      <c r="E446" s="48"/>
      <c r="F446" s="48"/>
      <c r="G446" s="48"/>
      <c r="H446" s="48"/>
      <c r="I446" s="48"/>
      <c r="J446" s="48"/>
      <c r="K446" s="48"/>
      <c r="L446" s="48"/>
      <c r="M446" s="48"/>
      <c r="N446" s="48"/>
      <c r="O446" s="48"/>
      <c r="P446" s="48"/>
      <c r="Q446" s="48"/>
      <c r="R446" s="48"/>
      <c r="S446" s="48"/>
      <c r="T446" s="48"/>
      <c r="U446" s="48"/>
      <c r="V446" s="48"/>
    </row>
    <row r="447" spans="1:22">
      <c r="A447" s="48"/>
      <c r="B447" s="48"/>
      <c r="C447" s="48"/>
      <c r="D447" s="48"/>
      <c r="E447" s="48"/>
      <c r="F447" s="48"/>
      <c r="G447" s="48"/>
      <c r="H447" s="48"/>
      <c r="I447" s="48"/>
      <c r="J447" s="48"/>
      <c r="K447" s="48"/>
      <c r="L447" s="48"/>
      <c r="M447" s="48"/>
      <c r="N447" s="48"/>
      <c r="O447" s="48"/>
      <c r="P447" s="48"/>
      <c r="Q447" s="48"/>
      <c r="R447" s="48"/>
      <c r="S447" s="48"/>
      <c r="T447" s="48"/>
      <c r="U447" s="48"/>
      <c r="V447" s="48"/>
    </row>
    <row r="448" spans="1:22">
      <c r="A448" s="48"/>
      <c r="B448" s="48"/>
      <c r="C448" s="48"/>
      <c r="D448" s="48"/>
      <c r="E448" s="48"/>
      <c r="F448" s="48"/>
      <c r="G448" s="48"/>
      <c r="H448" s="48"/>
      <c r="I448" s="48"/>
      <c r="J448" s="48"/>
      <c r="K448" s="48"/>
      <c r="L448" s="48"/>
      <c r="M448" s="48"/>
      <c r="N448" s="48"/>
      <c r="O448" s="48"/>
      <c r="P448" s="48"/>
      <c r="Q448" s="48"/>
      <c r="R448" s="48"/>
      <c r="S448" s="48"/>
      <c r="T448" s="48"/>
      <c r="U448" s="48"/>
      <c r="V448" s="48"/>
    </row>
    <row r="449" spans="1:22">
      <c r="A449" s="48"/>
      <c r="B449" s="48"/>
      <c r="C449" s="48"/>
      <c r="D449" s="48"/>
      <c r="E449" s="48"/>
      <c r="F449" s="48"/>
      <c r="G449" s="48"/>
      <c r="H449" s="48"/>
      <c r="I449" s="48"/>
      <c r="J449" s="48"/>
      <c r="K449" s="48"/>
      <c r="L449" s="48"/>
      <c r="M449" s="48"/>
      <c r="N449" s="48"/>
      <c r="O449" s="48"/>
      <c r="P449" s="48"/>
      <c r="Q449" s="48"/>
      <c r="R449" s="48"/>
      <c r="S449" s="48"/>
      <c r="T449" s="48"/>
      <c r="U449" s="48"/>
      <c r="V449" s="48"/>
    </row>
    <row r="450" spans="1:22">
      <c r="A450" s="48"/>
      <c r="B450" s="48"/>
      <c r="C450" s="48"/>
      <c r="D450" s="48"/>
      <c r="E450" s="48"/>
      <c r="F450" s="48"/>
      <c r="G450" s="48"/>
      <c r="H450" s="48"/>
      <c r="I450" s="48"/>
      <c r="J450" s="48"/>
      <c r="K450" s="48"/>
      <c r="L450" s="48"/>
      <c r="M450" s="48"/>
      <c r="N450" s="48"/>
      <c r="O450" s="48"/>
      <c r="P450" s="48"/>
      <c r="Q450" s="48"/>
      <c r="R450" s="48"/>
      <c r="S450" s="48"/>
      <c r="T450" s="48"/>
      <c r="U450" s="48"/>
      <c r="V450" s="48"/>
    </row>
    <row r="451" spans="1:22">
      <c r="A451" s="48"/>
      <c r="B451" s="48"/>
      <c r="C451" s="48"/>
      <c r="D451" s="48"/>
      <c r="E451" s="48"/>
      <c r="F451" s="48"/>
      <c r="G451" s="48"/>
      <c r="H451" s="48"/>
      <c r="I451" s="48"/>
      <c r="J451" s="48"/>
      <c r="K451" s="48"/>
      <c r="L451" s="48"/>
      <c r="M451" s="48"/>
      <c r="N451" s="48"/>
      <c r="O451" s="48"/>
      <c r="P451" s="48"/>
      <c r="Q451" s="48"/>
      <c r="R451" s="48"/>
      <c r="S451" s="48"/>
      <c r="T451" s="48"/>
      <c r="U451" s="48"/>
      <c r="V451" s="48"/>
    </row>
    <row r="452" spans="1:22">
      <c r="A452" s="48"/>
      <c r="B452" s="48"/>
      <c r="C452" s="48"/>
      <c r="D452" s="48"/>
      <c r="E452" s="48"/>
      <c r="F452" s="48"/>
      <c r="G452" s="48"/>
      <c r="H452" s="48"/>
      <c r="I452" s="48"/>
      <c r="J452" s="48"/>
      <c r="K452" s="48"/>
      <c r="L452" s="48"/>
      <c r="M452" s="48"/>
      <c r="N452" s="48"/>
      <c r="O452" s="48"/>
      <c r="P452" s="48"/>
      <c r="Q452" s="48"/>
      <c r="R452" s="48"/>
      <c r="S452" s="48"/>
      <c r="T452" s="48"/>
      <c r="U452" s="48"/>
      <c r="V452" s="48"/>
    </row>
    <row r="453" spans="1:22">
      <c r="A453" s="48"/>
      <c r="B453" s="48"/>
      <c r="C453" s="48"/>
      <c r="D453" s="48"/>
      <c r="E453" s="48"/>
      <c r="F453" s="48"/>
      <c r="G453" s="48"/>
      <c r="H453" s="48"/>
      <c r="I453" s="48"/>
      <c r="J453" s="48"/>
      <c r="K453" s="48"/>
      <c r="L453" s="48"/>
      <c r="M453" s="48"/>
      <c r="N453" s="48"/>
      <c r="O453" s="48"/>
      <c r="P453" s="48"/>
      <c r="Q453" s="48"/>
      <c r="R453" s="48"/>
      <c r="S453" s="48"/>
      <c r="T453" s="48"/>
      <c r="U453" s="48"/>
      <c r="V453" s="48"/>
    </row>
    <row r="454" spans="1:22">
      <c r="A454" s="48"/>
      <c r="B454" s="48"/>
      <c r="C454" s="48"/>
      <c r="D454" s="48"/>
      <c r="E454" s="48"/>
      <c r="F454" s="48"/>
      <c r="G454" s="48"/>
      <c r="H454" s="48"/>
      <c r="I454" s="48"/>
      <c r="J454" s="48"/>
      <c r="K454" s="48"/>
      <c r="L454" s="48"/>
      <c r="M454" s="48"/>
      <c r="N454" s="48"/>
      <c r="O454" s="48"/>
      <c r="P454" s="48"/>
      <c r="Q454" s="48"/>
      <c r="R454" s="48"/>
      <c r="S454" s="48"/>
      <c r="T454" s="48"/>
      <c r="U454" s="48"/>
      <c r="V454" s="48"/>
    </row>
    <row r="455" spans="1:22">
      <c r="A455" s="48"/>
      <c r="B455" s="48"/>
      <c r="C455" s="48"/>
      <c r="D455" s="48"/>
      <c r="E455" s="48"/>
      <c r="F455" s="48"/>
      <c r="G455" s="48"/>
      <c r="H455" s="48"/>
      <c r="I455" s="48"/>
      <c r="J455" s="48"/>
      <c r="K455" s="48"/>
      <c r="L455" s="48"/>
      <c r="M455" s="48"/>
      <c r="N455" s="48"/>
      <c r="O455" s="48"/>
      <c r="P455" s="48"/>
      <c r="Q455" s="48"/>
      <c r="R455" s="48"/>
      <c r="S455" s="48"/>
      <c r="T455" s="48"/>
      <c r="U455" s="48"/>
      <c r="V455" s="48"/>
    </row>
    <row r="456" spans="1:22">
      <c r="A456" s="48"/>
      <c r="B456" s="48"/>
      <c r="C456" s="48"/>
      <c r="D456" s="48"/>
      <c r="E456" s="48"/>
      <c r="F456" s="48"/>
      <c r="G456" s="48"/>
      <c r="H456" s="48"/>
      <c r="I456" s="48"/>
      <c r="J456" s="48"/>
      <c r="K456" s="48"/>
      <c r="L456" s="48"/>
      <c r="M456" s="48"/>
      <c r="N456" s="48"/>
      <c r="O456" s="48"/>
      <c r="P456" s="48"/>
      <c r="Q456" s="48"/>
      <c r="R456" s="48"/>
      <c r="S456" s="48"/>
      <c r="T456" s="48"/>
      <c r="U456" s="48"/>
      <c r="V456" s="48"/>
    </row>
    <row r="457" spans="1:22">
      <c r="A457" s="48"/>
      <c r="B457" s="48"/>
      <c r="C457" s="48"/>
      <c r="D457" s="48"/>
      <c r="E457" s="48"/>
      <c r="F457" s="48"/>
      <c r="G457" s="48"/>
      <c r="H457" s="48"/>
      <c r="I457" s="48"/>
      <c r="J457" s="48"/>
      <c r="K457" s="48"/>
      <c r="L457" s="48"/>
      <c r="M457" s="48"/>
      <c r="N457" s="48"/>
      <c r="O457" s="48"/>
      <c r="P457" s="48"/>
      <c r="Q457" s="48"/>
      <c r="R457" s="48"/>
      <c r="S457" s="48"/>
      <c r="T457" s="48"/>
      <c r="U457" s="48"/>
      <c r="V457" s="48"/>
    </row>
    <row r="458" spans="1:22">
      <c r="A458" s="48"/>
      <c r="B458" s="48"/>
      <c r="C458" s="48"/>
      <c r="D458" s="48"/>
      <c r="E458" s="48"/>
      <c r="F458" s="48"/>
      <c r="G458" s="48"/>
      <c r="H458" s="48"/>
      <c r="I458" s="48"/>
      <c r="J458" s="48"/>
      <c r="K458" s="48"/>
      <c r="L458" s="48"/>
      <c r="M458" s="48"/>
      <c r="N458" s="48"/>
      <c r="O458" s="48"/>
      <c r="P458" s="48"/>
      <c r="Q458" s="48"/>
      <c r="R458" s="48"/>
      <c r="S458" s="48"/>
      <c r="T458" s="48"/>
      <c r="U458" s="48"/>
      <c r="V458" s="48"/>
    </row>
    <row r="459" spans="1:22">
      <c r="A459" s="48"/>
      <c r="B459" s="48"/>
      <c r="C459" s="48"/>
      <c r="D459" s="48"/>
      <c r="E459" s="48"/>
      <c r="F459" s="48"/>
      <c r="G459" s="48"/>
      <c r="H459" s="48"/>
      <c r="I459" s="48"/>
      <c r="J459" s="48"/>
      <c r="K459" s="48"/>
      <c r="L459" s="48"/>
      <c r="M459" s="48"/>
      <c r="N459" s="48"/>
      <c r="O459" s="48"/>
      <c r="P459" s="48"/>
      <c r="Q459" s="48"/>
      <c r="R459" s="48"/>
      <c r="S459" s="48"/>
      <c r="T459" s="48"/>
      <c r="U459" s="48"/>
      <c r="V459" s="48"/>
    </row>
    <row r="460" spans="1:22">
      <c r="A460" s="48"/>
      <c r="B460" s="48"/>
      <c r="C460" s="48"/>
      <c r="D460" s="48"/>
      <c r="E460" s="48"/>
      <c r="F460" s="48"/>
      <c r="G460" s="48"/>
      <c r="H460" s="48"/>
      <c r="I460" s="48"/>
      <c r="J460" s="48"/>
      <c r="K460" s="48"/>
      <c r="L460" s="48"/>
      <c r="M460" s="48"/>
      <c r="N460" s="48"/>
      <c r="O460" s="48"/>
      <c r="P460" s="48"/>
      <c r="Q460" s="48"/>
      <c r="R460" s="48"/>
      <c r="S460" s="48"/>
      <c r="T460" s="48"/>
      <c r="U460" s="48"/>
      <c r="V460" s="48"/>
    </row>
    <row r="461" spans="1:22">
      <c r="A461" s="48"/>
      <c r="B461" s="48"/>
      <c r="C461" s="48"/>
      <c r="D461" s="48"/>
      <c r="E461" s="48"/>
      <c r="F461" s="48"/>
      <c r="G461" s="48"/>
      <c r="H461" s="48"/>
      <c r="I461" s="48"/>
      <c r="J461" s="48"/>
      <c r="K461" s="48"/>
      <c r="L461" s="48"/>
      <c r="M461" s="48"/>
      <c r="N461" s="48"/>
      <c r="O461" s="48"/>
      <c r="P461" s="48"/>
      <c r="Q461" s="48"/>
      <c r="R461" s="48"/>
      <c r="S461" s="48"/>
      <c r="T461" s="48"/>
      <c r="U461" s="48"/>
      <c r="V461" s="48"/>
    </row>
    <row r="462" spans="1:22">
      <c r="A462" s="48"/>
      <c r="B462" s="48"/>
      <c r="C462" s="48"/>
      <c r="D462" s="48"/>
      <c r="E462" s="48"/>
      <c r="F462" s="48"/>
      <c r="G462" s="48"/>
      <c r="H462" s="48"/>
      <c r="I462" s="48"/>
      <c r="J462" s="48"/>
      <c r="K462" s="48"/>
      <c r="L462" s="48"/>
      <c r="M462" s="48"/>
      <c r="N462" s="48"/>
      <c r="O462" s="48"/>
      <c r="P462" s="48"/>
      <c r="Q462" s="48"/>
      <c r="R462" s="48"/>
      <c r="S462" s="48"/>
      <c r="T462" s="48"/>
      <c r="U462" s="48"/>
      <c r="V462" s="48"/>
    </row>
    <row r="463" spans="1:22">
      <c r="A463" s="48"/>
      <c r="B463" s="48"/>
      <c r="C463" s="48"/>
      <c r="D463" s="48"/>
      <c r="E463" s="48"/>
      <c r="F463" s="48"/>
      <c r="G463" s="48"/>
      <c r="H463" s="48"/>
      <c r="I463" s="48"/>
      <c r="J463" s="48"/>
      <c r="K463" s="48"/>
      <c r="L463" s="48"/>
      <c r="M463" s="48"/>
      <c r="N463" s="48"/>
      <c r="O463" s="48"/>
      <c r="P463" s="48"/>
      <c r="Q463" s="48"/>
      <c r="R463" s="48"/>
      <c r="S463" s="48"/>
      <c r="T463" s="48"/>
      <c r="U463" s="48"/>
      <c r="V463" s="48"/>
    </row>
    <row r="464" spans="1:22">
      <c r="A464" s="48"/>
      <c r="B464" s="48"/>
      <c r="C464" s="48"/>
      <c r="D464" s="48"/>
      <c r="E464" s="48"/>
      <c r="F464" s="48"/>
      <c r="G464" s="48"/>
      <c r="H464" s="48"/>
      <c r="I464" s="48"/>
      <c r="J464" s="48"/>
      <c r="K464" s="48"/>
      <c r="L464" s="48"/>
      <c r="M464" s="48"/>
      <c r="N464" s="48"/>
      <c r="O464" s="48"/>
      <c r="P464" s="48"/>
      <c r="Q464" s="48"/>
      <c r="R464" s="48"/>
      <c r="S464" s="48"/>
      <c r="T464" s="48"/>
      <c r="U464" s="48"/>
      <c r="V464" s="48"/>
    </row>
    <row r="465" spans="1:22">
      <c r="A465" s="48"/>
      <c r="B465" s="48"/>
      <c r="C465" s="48"/>
      <c r="D465" s="48"/>
      <c r="E465" s="48"/>
      <c r="F465" s="48"/>
      <c r="G465" s="48"/>
      <c r="H465" s="48"/>
      <c r="I465" s="48"/>
      <c r="J465" s="48"/>
      <c r="K465" s="48"/>
      <c r="L465" s="48"/>
      <c r="M465" s="48"/>
      <c r="N465" s="48"/>
      <c r="O465" s="48"/>
      <c r="P465" s="48"/>
      <c r="Q465" s="48"/>
      <c r="R465" s="48"/>
      <c r="S465" s="48"/>
      <c r="T465" s="48"/>
      <c r="U465" s="48"/>
      <c r="V465" s="48"/>
    </row>
    <row r="466" spans="1:22">
      <c r="A466" s="48"/>
      <c r="B466" s="48"/>
      <c r="C466" s="48"/>
      <c r="D466" s="48"/>
      <c r="E466" s="48"/>
      <c r="F466" s="48"/>
      <c r="G466" s="48"/>
      <c r="H466" s="48"/>
      <c r="I466" s="48"/>
      <c r="J466" s="48"/>
      <c r="K466" s="48"/>
      <c r="L466" s="48"/>
      <c r="M466" s="48"/>
      <c r="N466" s="48"/>
      <c r="O466" s="48"/>
      <c r="P466" s="48"/>
      <c r="Q466" s="48"/>
      <c r="R466" s="48"/>
      <c r="S466" s="48"/>
      <c r="T466" s="48"/>
      <c r="U466" s="48"/>
      <c r="V466" s="48"/>
    </row>
    <row r="467" spans="1:22">
      <c r="A467" s="48"/>
      <c r="B467" s="48"/>
      <c r="C467" s="48"/>
      <c r="D467" s="48"/>
      <c r="E467" s="48"/>
      <c r="F467" s="48"/>
      <c r="G467" s="48"/>
      <c r="H467" s="48"/>
      <c r="I467" s="48"/>
      <c r="J467" s="48"/>
      <c r="K467" s="48"/>
      <c r="L467" s="48"/>
      <c r="M467" s="48"/>
      <c r="N467" s="48"/>
      <c r="O467" s="48"/>
      <c r="P467" s="48"/>
      <c r="Q467" s="48"/>
      <c r="R467" s="48"/>
      <c r="S467" s="48"/>
      <c r="T467" s="48"/>
      <c r="U467" s="48"/>
      <c r="V467" s="48"/>
    </row>
    <row r="468" spans="1:22">
      <c r="A468" s="48"/>
      <c r="B468" s="48"/>
      <c r="C468" s="48"/>
      <c r="D468" s="48"/>
      <c r="E468" s="48"/>
      <c r="F468" s="48"/>
      <c r="G468" s="48"/>
      <c r="H468" s="48"/>
      <c r="I468" s="48"/>
      <c r="J468" s="48"/>
      <c r="K468" s="48"/>
      <c r="L468" s="48"/>
      <c r="M468" s="48"/>
      <c r="N468" s="48"/>
      <c r="O468" s="48"/>
      <c r="P468" s="48"/>
      <c r="Q468" s="48"/>
      <c r="R468" s="48"/>
      <c r="S468" s="48"/>
      <c r="T468" s="48"/>
      <c r="U468" s="48"/>
      <c r="V468" s="48"/>
    </row>
    <row r="469" spans="1:22">
      <c r="A469" s="48"/>
      <c r="B469" s="48"/>
      <c r="C469" s="48"/>
      <c r="D469" s="48"/>
      <c r="E469" s="48"/>
      <c r="F469" s="48"/>
      <c r="G469" s="48"/>
      <c r="H469" s="48"/>
      <c r="I469" s="48"/>
      <c r="J469" s="48"/>
      <c r="K469" s="48"/>
      <c r="L469" s="48"/>
      <c r="M469" s="48"/>
      <c r="N469" s="48"/>
      <c r="O469" s="48"/>
      <c r="P469" s="48"/>
      <c r="Q469" s="48"/>
      <c r="R469" s="48"/>
      <c r="S469" s="48"/>
      <c r="T469" s="48"/>
      <c r="U469" s="48"/>
      <c r="V469" s="48"/>
    </row>
    <row r="470" spans="1:22">
      <c r="A470" s="48"/>
      <c r="B470" s="48"/>
      <c r="C470" s="48"/>
      <c r="D470" s="48"/>
      <c r="E470" s="48"/>
      <c r="F470" s="48"/>
      <c r="G470" s="48"/>
      <c r="H470" s="48"/>
      <c r="I470" s="48"/>
      <c r="J470" s="48"/>
      <c r="K470" s="48"/>
      <c r="L470" s="48"/>
      <c r="M470" s="48"/>
      <c r="N470" s="48"/>
      <c r="O470" s="48"/>
      <c r="P470" s="48"/>
      <c r="Q470" s="48"/>
      <c r="R470" s="48"/>
      <c r="S470" s="48"/>
      <c r="T470" s="48"/>
      <c r="U470" s="48"/>
      <c r="V470" s="48"/>
    </row>
    <row r="471" spans="1:22">
      <c r="A471" s="48"/>
      <c r="B471" s="48"/>
      <c r="C471" s="48"/>
      <c r="D471" s="48"/>
      <c r="E471" s="48"/>
      <c r="F471" s="48"/>
      <c r="G471" s="48"/>
      <c r="H471" s="48"/>
      <c r="I471" s="48"/>
      <c r="J471" s="48"/>
      <c r="K471" s="48"/>
      <c r="L471" s="48"/>
      <c r="M471" s="48"/>
      <c r="N471" s="48"/>
      <c r="O471" s="48"/>
      <c r="P471" s="48"/>
      <c r="Q471" s="48"/>
      <c r="R471" s="48"/>
      <c r="S471" s="48"/>
      <c r="T471" s="48"/>
      <c r="U471" s="48"/>
      <c r="V471" s="48"/>
    </row>
    <row r="472" spans="1:22">
      <c r="A472" s="48"/>
      <c r="B472" s="48"/>
      <c r="C472" s="48"/>
      <c r="D472" s="48"/>
      <c r="E472" s="48"/>
      <c r="F472" s="48"/>
      <c r="G472" s="48"/>
      <c r="H472" s="48"/>
      <c r="I472" s="48"/>
      <c r="J472" s="48"/>
      <c r="K472" s="48"/>
      <c r="L472" s="48"/>
      <c r="M472" s="48"/>
      <c r="N472" s="48"/>
      <c r="O472" s="48"/>
      <c r="P472" s="48"/>
      <c r="Q472" s="48"/>
      <c r="R472" s="48"/>
      <c r="S472" s="48"/>
      <c r="T472" s="48"/>
      <c r="U472" s="48"/>
      <c r="V472" s="48"/>
    </row>
    <row r="473" spans="1:22">
      <c r="A473" s="48"/>
      <c r="B473" s="48"/>
      <c r="C473" s="48"/>
      <c r="D473" s="48"/>
      <c r="E473" s="48"/>
      <c r="F473" s="48"/>
      <c r="G473" s="48"/>
      <c r="H473" s="48"/>
      <c r="I473" s="48"/>
      <c r="J473" s="48"/>
      <c r="K473" s="48"/>
      <c r="L473" s="48"/>
      <c r="M473" s="48"/>
      <c r="N473" s="48"/>
      <c r="O473" s="48"/>
      <c r="P473" s="48"/>
      <c r="Q473" s="48"/>
      <c r="R473" s="48"/>
      <c r="S473" s="48"/>
      <c r="T473" s="48"/>
      <c r="U473" s="48"/>
      <c r="V473" s="48"/>
    </row>
    <row r="474" spans="1:22">
      <c r="A474" s="48"/>
      <c r="B474" s="48"/>
      <c r="C474" s="48"/>
      <c r="D474" s="48"/>
      <c r="E474" s="48"/>
      <c r="F474" s="48"/>
      <c r="G474" s="48"/>
      <c r="H474" s="48"/>
      <c r="I474" s="48"/>
      <c r="J474" s="48"/>
      <c r="K474" s="48"/>
      <c r="L474" s="48"/>
      <c r="M474" s="48"/>
      <c r="N474" s="48"/>
      <c r="O474" s="48"/>
      <c r="P474" s="48"/>
      <c r="Q474" s="48"/>
      <c r="R474" s="48"/>
      <c r="S474" s="48"/>
      <c r="T474" s="48"/>
      <c r="U474" s="48"/>
      <c r="V474" s="48"/>
    </row>
    <row r="475" spans="1:22">
      <c r="A475" s="48"/>
      <c r="B475" s="48"/>
      <c r="C475" s="48"/>
      <c r="D475" s="48"/>
      <c r="E475" s="48"/>
      <c r="F475" s="48"/>
      <c r="G475" s="48"/>
      <c r="H475" s="48"/>
      <c r="I475" s="48"/>
      <c r="J475" s="48"/>
      <c r="K475" s="48"/>
      <c r="L475" s="48"/>
      <c r="M475" s="48"/>
      <c r="N475" s="48"/>
      <c r="O475" s="48"/>
      <c r="P475" s="48"/>
      <c r="Q475" s="48"/>
      <c r="R475" s="48"/>
      <c r="S475" s="48"/>
      <c r="T475" s="48"/>
      <c r="U475" s="48"/>
      <c r="V475" s="48"/>
    </row>
    <row r="476" spans="1:22">
      <c r="A476" s="48"/>
      <c r="B476" s="48"/>
      <c r="C476" s="48"/>
      <c r="D476" s="48"/>
      <c r="E476" s="48"/>
      <c r="F476" s="48"/>
      <c r="G476" s="48"/>
      <c r="H476" s="48"/>
      <c r="I476" s="48"/>
      <c r="J476" s="48"/>
      <c r="K476" s="48"/>
      <c r="L476" s="48"/>
      <c r="M476" s="48"/>
      <c r="N476" s="48"/>
      <c r="O476" s="48"/>
      <c r="P476" s="48"/>
      <c r="Q476" s="48"/>
      <c r="R476" s="48"/>
      <c r="S476" s="48"/>
      <c r="T476" s="48"/>
      <c r="U476" s="48"/>
      <c r="V476" s="48"/>
    </row>
    <row r="477" spans="1:22">
      <c r="A477" s="48"/>
      <c r="B477" s="48"/>
      <c r="C477" s="48"/>
      <c r="D477" s="48"/>
      <c r="E477" s="48"/>
      <c r="F477" s="48"/>
      <c r="G477" s="48"/>
      <c r="H477" s="48"/>
      <c r="I477" s="48"/>
      <c r="J477" s="48"/>
      <c r="K477" s="48"/>
      <c r="L477" s="48"/>
      <c r="M477" s="48"/>
      <c r="N477" s="48"/>
      <c r="O477" s="48"/>
      <c r="P477" s="48"/>
      <c r="Q477" s="48"/>
      <c r="R477" s="48"/>
      <c r="S477" s="48"/>
      <c r="T477" s="48"/>
      <c r="U477" s="48"/>
      <c r="V477" s="48"/>
    </row>
    <row r="478" spans="1:22">
      <c r="A478" s="48"/>
      <c r="B478" s="48"/>
      <c r="C478" s="48"/>
      <c r="D478" s="48"/>
      <c r="E478" s="48"/>
      <c r="F478" s="48"/>
      <c r="G478" s="48"/>
      <c r="H478" s="48"/>
      <c r="I478" s="48"/>
      <c r="J478" s="48"/>
      <c r="K478" s="48"/>
      <c r="L478" s="48"/>
      <c r="M478" s="48"/>
      <c r="N478" s="48"/>
      <c r="O478" s="48"/>
      <c r="P478" s="48"/>
      <c r="Q478" s="48"/>
      <c r="R478" s="48"/>
      <c r="S478" s="48"/>
      <c r="T478" s="48"/>
      <c r="U478" s="48"/>
      <c r="V478" s="48"/>
    </row>
    <row r="479" spans="1:22">
      <c r="A479" s="48"/>
      <c r="B479" s="48"/>
      <c r="C479" s="48"/>
      <c r="D479" s="48"/>
      <c r="E479" s="48"/>
      <c r="F479" s="48"/>
      <c r="G479" s="48"/>
      <c r="H479" s="48"/>
      <c r="I479" s="48"/>
      <c r="J479" s="48"/>
      <c r="K479" s="48"/>
      <c r="L479" s="48"/>
      <c r="M479" s="48"/>
      <c r="N479" s="48"/>
      <c r="O479" s="48"/>
      <c r="P479" s="48"/>
      <c r="Q479" s="48"/>
      <c r="R479" s="48"/>
      <c r="S479" s="48"/>
      <c r="T479" s="48"/>
      <c r="U479" s="48"/>
      <c r="V479" s="48"/>
    </row>
    <row r="480" spans="1:22">
      <c r="A480" s="48"/>
      <c r="B480" s="48"/>
      <c r="C480" s="48"/>
      <c r="D480" s="48"/>
      <c r="E480" s="48"/>
      <c r="F480" s="48"/>
      <c r="G480" s="48"/>
      <c r="H480" s="48"/>
      <c r="I480" s="48"/>
      <c r="J480" s="48"/>
      <c r="K480" s="48"/>
      <c r="L480" s="48"/>
      <c r="M480" s="48"/>
      <c r="N480" s="48"/>
      <c r="O480" s="48"/>
      <c r="P480" s="48"/>
      <c r="Q480" s="48"/>
      <c r="R480" s="48"/>
      <c r="S480" s="48"/>
      <c r="T480" s="48"/>
      <c r="U480" s="48"/>
      <c r="V480" s="48"/>
    </row>
    <row r="481" spans="1:22">
      <c r="A481" s="48"/>
      <c r="B481" s="48"/>
      <c r="C481" s="48"/>
      <c r="D481" s="48"/>
      <c r="E481" s="48"/>
      <c r="F481" s="48"/>
      <c r="G481" s="48"/>
      <c r="H481" s="48"/>
      <c r="I481" s="48"/>
      <c r="J481" s="48"/>
      <c r="K481" s="48"/>
      <c r="L481" s="48"/>
      <c r="M481" s="48"/>
      <c r="N481" s="48"/>
      <c r="O481" s="48"/>
      <c r="P481" s="48"/>
      <c r="Q481" s="48"/>
      <c r="R481" s="48"/>
      <c r="S481" s="48"/>
      <c r="T481" s="48"/>
      <c r="U481" s="48"/>
      <c r="V481" s="48"/>
    </row>
    <row r="482" spans="1:22">
      <c r="A482" s="48"/>
      <c r="B482" s="48"/>
      <c r="C482" s="48"/>
      <c r="D482" s="48"/>
      <c r="E482" s="48"/>
      <c r="F482" s="48"/>
      <c r="G482" s="48"/>
      <c r="H482" s="48"/>
      <c r="I482" s="48"/>
      <c r="J482" s="48"/>
      <c r="K482" s="48"/>
      <c r="L482" s="48"/>
      <c r="M482" s="48"/>
      <c r="N482" s="48"/>
      <c r="O482" s="48"/>
      <c r="P482" s="48"/>
      <c r="Q482" s="48"/>
      <c r="R482" s="48"/>
      <c r="S482" s="48"/>
      <c r="T482" s="48"/>
      <c r="U482" s="48"/>
      <c r="V482" s="48"/>
    </row>
    <row r="483" spans="1:22">
      <c r="A483" s="48"/>
      <c r="B483" s="48"/>
      <c r="C483" s="48"/>
      <c r="D483" s="48"/>
      <c r="E483" s="48"/>
      <c r="F483" s="48"/>
      <c r="G483" s="48"/>
      <c r="H483" s="48"/>
      <c r="I483" s="48"/>
      <c r="J483" s="48"/>
      <c r="K483" s="48"/>
      <c r="L483" s="48"/>
      <c r="M483" s="48"/>
      <c r="N483" s="48"/>
      <c r="O483" s="48"/>
      <c r="P483" s="48"/>
      <c r="Q483" s="48"/>
      <c r="R483" s="48"/>
      <c r="S483" s="48"/>
      <c r="T483" s="48"/>
      <c r="U483" s="48"/>
      <c r="V483" s="48"/>
    </row>
    <row r="484" spans="1:22">
      <c r="A484" s="48"/>
      <c r="B484" s="48"/>
      <c r="C484" s="48"/>
      <c r="D484" s="48"/>
      <c r="E484" s="48"/>
      <c r="F484" s="48"/>
      <c r="G484" s="48"/>
      <c r="H484" s="48"/>
      <c r="I484" s="48"/>
      <c r="J484" s="48"/>
      <c r="K484" s="48"/>
      <c r="L484" s="48"/>
      <c r="M484" s="48"/>
      <c r="N484" s="48"/>
      <c r="O484" s="48"/>
      <c r="P484" s="48"/>
      <c r="Q484" s="48"/>
      <c r="R484" s="48"/>
      <c r="S484" s="48"/>
      <c r="T484" s="48"/>
      <c r="U484" s="48"/>
      <c r="V484" s="48"/>
    </row>
    <row r="485" spans="1:22">
      <c r="A485" s="48"/>
      <c r="B485" s="48"/>
      <c r="C485" s="48"/>
      <c r="D485" s="48"/>
      <c r="E485" s="48"/>
      <c r="F485" s="48"/>
      <c r="G485" s="48"/>
      <c r="H485" s="48"/>
      <c r="I485" s="48"/>
      <c r="J485" s="48"/>
      <c r="K485" s="48"/>
      <c r="L485" s="48"/>
      <c r="M485" s="48"/>
      <c r="N485" s="48"/>
      <c r="O485" s="48"/>
      <c r="P485" s="48"/>
      <c r="Q485" s="48"/>
      <c r="R485" s="48"/>
      <c r="S485" s="48"/>
      <c r="T485" s="48"/>
      <c r="U485" s="48"/>
      <c r="V485" s="48"/>
    </row>
    <row r="486" spans="1:22">
      <c r="A486" s="48"/>
      <c r="B486" s="48"/>
      <c r="C486" s="48"/>
      <c r="D486" s="48"/>
      <c r="E486" s="48"/>
      <c r="F486" s="48"/>
      <c r="G486" s="48"/>
      <c r="H486" s="48"/>
      <c r="I486" s="48"/>
      <c r="J486" s="48"/>
      <c r="K486" s="48"/>
      <c r="L486" s="48"/>
      <c r="M486" s="48"/>
      <c r="N486" s="48"/>
      <c r="O486" s="48"/>
      <c r="P486" s="48"/>
      <c r="Q486" s="48"/>
      <c r="R486" s="48"/>
      <c r="S486" s="48"/>
      <c r="T486" s="48"/>
      <c r="U486" s="48"/>
      <c r="V486" s="48"/>
    </row>
    <row r="487" spans="1:22">
      <c r="A487" s="48"/>
      <c r="B487" s="48"/>
      <c r="C487" s="48"/>
      <c r="D487" s="48"/>
      <c r="E487" s="48"/>
      <c r="F487" s="48"/>
      <c r="G487" s="48"/>
      <c r="H487" s="48"/>
      <c r="I487" s="48"/>
      <c r="J487" s="48"/>
      <c r="K487" s="48"/>
      <c r="L487" s="48"/>
      <c r="M487" s="48"/>
      <c r="N487" s="48"/>
      <c r="O487" s="48"/>
      <c r="P487" s="48"/>
      <c r="Q487" s="48"/>
      <c r="R487" s="48"/>
      <c r="S487" s="48"/>
      <c r="T487" s="48"/>
      <c r="U487" s="48"/>
      <c r="V487" s="48"/>
    </row>
    <row r="488" spans="1:22">
      <c r="A488" s="48"/>
      <c r="B488" s="48"/>
      <c r="C488" s="48"/>
      <c r="D488" s="48"/>
      <c r="E488" s="48"/>
      <c r="F488" s="48"/>
      <c r="G488" s="48"/>
      <c r="H488" s="48"/>
      <c r="I488" s="48"/>
      <c r="J488" s="48"/>
      <c r="K488" s="48"/>
      <c r="L488" s="48"/>
      <c r="M488" s="48"/>
      <c r="N488" s="48"/>
      <c r="O488" s="48"/>
      <c r="P488" s="48"/>
      <c r="Q488" s="48"/>
      <c r="R488" s="48"/>
      <c r="S488" s="48"/>
      <c r="T488" s="48"/>
      <c r="U488" s="48"/>
      <c r="V488" s="48"/>
    </row>
    <row r="489" spans="1:22">
      <c r="A489" s="48"/>
      <c r="B489" s="48"/>
      <c r="C489" s="48"/>
      <c r="D489" s="48"/>
      <c r="E489" s="48"/>
      <c r="F489" s="48"/>
      <c r="G489" s="48"/>
      <c r="H489" s="48"/>
      <c r="I489" s="48"/>
      <c r="J489" s="48"/>
      <c r="K489" s="48"/>
      <c r="L489" s="48"/>
      <c r="M489" s="48"/>
      <c r="N489" s="48"/>
      <c r="O489" s="48"/>
      <c r="P489" s="48"/>
      <c r="Q489" s="48"/>
      <c r="R489" s="48"/>
      <c r="S489" s="48"/>
      <c r="T489" s="48"/>
      <c r="U489" s="48"/>
      <c r="V489" s="48"/>
    </row>
    <row r="490" spans="1:22">
      <c r="A490" s="48"/>
      <c r="B490" s="48"/>
      <c r="C490" s="48"/>
      <c r="D490" s="48"/>
      <c r="E490" s="48"/>
      <c r="F490" s="48"/>
      <c r="G490" s="48"/>
      <c r="H490" s="48"/>
      <c r="I490" s="48"/>
      <c r="J490" s="48"/>
      <c r="K490" s="48"/>
      <c r="L490" s="48"/>
      <c r="M490" s="48"/>
      <c r="N490" s="48"/>
      <c r="O490" s="48"/>
      <c r="P490" s="48"/>
      <c r="Q490" s="48"/>
      <c r="R490" s="48"/>
      <c r="S490" s="48"/>
      <c r="T490" s="48"/>
      <c r="U490" s="48"/>
      <c r="V490" s="48"/>
    </row>
    <row r="491" spans="1:22">
      <c r="A491" s="48"/>
      <c r="B491" s="48"/>
      <c r="C491" s="48"/>
      <c r="D491" s="48"/>
      <c r="E491" s="48"/>
      <c r="F491" s="48"/>
      <c r="G491" s="48"/>
      <c r="H491" s="48"/>
      <c r="I491" s="48"/>
      <c r="J491" s="48"/>
      <c r="K491" s="48"/>
      <c r="L491" s="48"/>
      <c r="M491" s="48"/>
      <c r="N491" s="48"/>
      <c r="O491" s="48"/>
      <c r="P491" s="48"/>
      <c r="Q491" s="48"/>
      <c r="R491" s="48"/>
      <c r="S491" s="48"/>
      <c r="T491" s="48"/>
      <c r="U491" s="48"/>
      <c r="V491" s="48"/>
    </row>
    <row r="492" spans="1:22">
      <c r="A492" s="48"/>
      <c r="B492" s="48"/>
      <c r="C492" s="48"/>
      <c r="D492" s="48"/>
      <c r="E492" s="48"/>
      <c r="F492" s="48"/>
      <c r="G492" s="48"/>
      <c r="H492" s="48"/>
      <c r="I492" s="48"/>
      <c r="J492" s="48"/>
      <c r="K492" s="48"/>
      <c r="L492" s="48"/>
      <c r="M492" s="48"/>
      <c r="N492" s="48"/>
      <c r="O492" s="48"/>
      <c r="P492" s="48"/>
      <c r="Q492" s="48"/>
      <c r="R492" s="48"/>
      <c r="S492" s="48"/>
      <c r="T492" s="48"/>
      <c r="U492" s="48"/>
      <c r="V492" s="48"/>
    </row>
    <row r="493" spans="1:22">
      <c r="A493" s="48"/>
      <c r="B493" s="48"/>
      <c r="C493" s="48"/>
      <c r="D493" s="48"/>
      <c r="E493" s="48"/>
      <c r="F493" s="48"/>
      <c r="G493" s="48"/>
      <c r="H493" s="48"/>
      <c r="I493" s="48"/>
      <c r="J493" s="48"/>
      <c r="K493" s="48"/>
      <c r="L493" s="48"/>
      <c r="M493" s="48"/>
      <c r="N493" s="48"/>
      <c r="O493" s="48"/>
      <c r="P493" s="48"/>
      <c r="Q493" s="48"/>
      <c r="R493" s="48"/>
      <c r="S493" s="48"/>
      <c r="T493" s="48"/>
      <c r="U493" s="48"/>
      <c r="V493" s="48"/>
    </row>
    <row r="494" spans="1:22">
      <c r="A494" s="48"/>
      <c r="B494" s="48"/>
      <c r="C494" s="48"/>
      <c r="D494" s="48"/>
      <c r="E494" s="48"/>
      <c r="F494" s="48"/>
      <c r="G494" s="48"/>
      <c r="H494" s="48"/>
      <c r="I494" s="48"/>
      <c r="J494" s="48"/>
      <c r="K494" s="48"/>
      <c r="L494" s="48"/>
      <c r="M494" s="48"/>
      <c r="N494" s="48"/>
      <c r="O494" s="48"/>
      <c r="P494" s="48"/>
      <c r="Q494" s="48"/>
      <c r="R494" s="48"/>
      <c r="S494" s="48"/>
      <c r="T494" s="48"/>
      <c r="U494" s="48"/>
      <c r="V494" s="48"/>
    </row>
    <row r="495" spans="1:22">
      <c r="A495" s="48"/>
      <c r="B495" s="48"/>
      <c r="C495" s="48"/>
      <c r="D495" s="48"/>
      <c r="E495" s="48"/>
      <c r="F495" s="48"/>
      <c r="G495" s="48"/>
      <c r="H495" s="48"/>
      <c r="I495" s="48"/>
      <c r="J495" s="48"/>
      <c r="K495" s="48"/>
      <c r="L495" s="48"/>
      <c r="M495" s="48"/>
      <c r="N495" s="48"/>
      <c r="O495" s="48"/>
      <c r="P495" s="48"/>
      <c r="Q495" s="48"/>
      <c r="R495" s="48"/>
      <c r="S495" s="48"/>
      <c r="T495" s="48"/>
      <c r="U495" s="48"/>
      <c r="V495" s="48"/>
    </row>
    <row r="496" spans="1:22">
      <c r="A496" s="48"/>
      <c r="B496" s="48"/>
      <c r="C496" s="48"/>
      <c r="D496" s="48"/>
      <c r="E496" s="48"/>
      <c r="F496" s="48"/>
      <c r="G496" s="48"/>
      <c r="H496" s="48"/>
      <c r="I496" s="48"/>
      <c r="J496" s="48"/>
      <c r="K496" s="48"/>
      <c r="L496" s="48"/>
      <c r="M496" s="48"/>
      <c r="N496" s="48"/>
      <c r="O496" s="48"/>
      <c r="P496" s="48"/>
      <c r="Q496" s="48"/>
      <c r="R496" s="48"/>
      <c r="S496" s="48"/>
      <c r="T496" s="48"/>
      <c r="U496" s="48"/>
      <c r="V496" s="48"/>
    </row>
    <row r="497" spans="1:22">
      <c r="A497" s="48"/>
      <c r="B497" s="48"/>
      <c r="C497" s="48"/>
      <c r="D497" s="48"/>
      <c r="E497" s="48"/>
      <c r="F497" s="48"/>
      <c r="G497" s="48"/>
      <c r="H497" s="48"/>
      <c r="I497" s="48"/>
      <c r="J497" s="48"/>
      <c r="K497" s="48"/>
      <c r="L497" s="48"/>
      <c r="M497" s="48"/>
      <c r="N497" s="48"/>
      <c r="O497" s="48"/>
      <c r="P497" s="48"/>
      <c r="Q497" s="48"/>
      <c r="R497" s="48"/>
      <c r="S497" s="48"/>
      <c r="T497" s="48"/>
      <c r="U497" s="48"/>
      <c r="V497" s="48"/>
    </row>
    <row r="498" spans="1:22">
      <c r="A498" s="48"/>
      <c r="B498" s="48"/>
      <c r="C498" s="48"/>
      <c r="D498" s="48"/>
      <c r="E498" s="48"/>
      <c r="F498" s="48"/>
      <c r="G498" s="48"/>
      <c r="H498" s="48"/>
      <c r="I498" s="48"/>
      <c r="J498" s="48"/>
      <c r="K498" s="48"/>
      <c r="L498" s="48"/>
      <c r="M498" s="48"/>
      <c r="N498" s="48"/>
      <c r="O498" s="48"/>
      <c r="P498" s="48"/>
      <c r="Q498" s="48"/>
      <c r="R498" s="48"/>
      <c r="S498" s="48"/>
      <c r="T498" s="48"/>
      <c r="U498" s="48"/>
      <c r="V498" s="48"/>
    </row>
    <row r="499" spans="1:22">
      <c r="A499" s="48"/>
      <c r="B499" s="48"/>
      <c r="C499" s="48"/>
      <c r="D499" s="48"/>
      <c r="E499" s="48"/>
      <c r="F499" s="48"/>
      <c r="G499" s="48"/>
      <c r="H499" s="48"/>
      <c r="I499" s="48"/>
      <c r="J499" s="48"/>
      <c r="K499" s="48"/>
      <c r="L499" s="48"/>
      <c r="M499" s="48"/>
      <c r="N499" s="48"/>
      <c r="O499" s="48"/>
      <c r="P499" s="48"/>
      <c r="Q499" s="48"/>
      <c r="R499" s="48"/>
      <c r="S499" s="48"/>
      <c r="T499" s="48"/>
      <c r="U499" s="48"/>
      <c r="V499" s="48"/>
    </row>
    <row r="500" spans="1:22">
      <c r="A500" s="48"/>
      <c r="B500" s="48"/>
      <c r="C500" s="48"/>
      <c r="D500" s="48"/>
      <c r="E500" s="48"/>
      <c r="F500" s="48"/>
      <c r="G500" s="48"/>
      <c r="H500" s="48"/>
      <c r="I500" s="48"/>
      <c r="J500" s="48"/>
      <c r="K500" s="48"/>
      <c r="L500" s="48"/>
      <c r="M500" s="48"/>
      <c r="N500" s="48"/>
      <c r="O500" s="48"/>
      <c r="P500" s="48"/>
      <c r="Q500" s="48"/>
      <c r="R500" s="48"/>
      <c r="S500" s="48"/>
      <c r="T500" s="48"/>
      <c r="U500" s="48"/>
      <c r="V500" s="48"/>
    </row>
    <row r="501" spans="1:22">
      <c r="A501" s="48"/>
      <c r="B501" s="48"/>
      <c r="C501" s="48"/>
      <c r="D501" s="48"/>
      <c r="E501" s="48"/>
      <c r="F501" s="48"/>
      <c r="G501" s="48"/>
      <c r="H501" s="48"/>
      <c r="I501" s="48"/>
      <c r="J501" s="48"/>
      <c r="K501" s="48"/>
      <c r="L501" s="48"/>
      <c r="M501" s="48"/>
      <c r="N501" s="48"/>
      <c r="O501" s="48"/>
      <c r="P501" s="48"/>
      <c r="Q501" s="48"/>
      <c r="R501" s="48"/>
      <c r="S501" s="48"/>
      <c r="T501" s="48"/>
      <c r="U501" s="48"/>
      <c r="V501" s="48"/>
    </row>
    <row r="502" spans="1:22">
      <c r="A502" s="48"/>
      <c r="B502" s="48"/>
      <c r="C502" s="48"/>
      <c r="D502" s="48"/>
      <c r="E502" s="48"/>
      <c r="F502" s="48"/>
      <c r="G502" s="48"/>
      <c r="H502" s="48"/>
      <c r="I502" s="48"/>
      <c r="J502" s="48"/>
      <c r="K502" s="48"/>
      <c r="L502" s="48"/>
      <c r="M502" s="48"/>
      <c r="N502" s="48"/>
      <c r="O502" s="48"/>
      <c r="P502" s="48"/>
      <c r="Q502" s="48"/>
      <c r="R502" s="48"/>
      <c r="S502" s="48"/>
      <c r="T502" s="48"/>
      <c r="U502" s="48"/>
      <c r="V502" s="48"/>
    </row>
    <row r="503" spans="1:22">
      <c r="A503" s="48"/>
      <c r="B503" s="48"/>
      <c r="C503" s="48"/>
      <c r="D503" s="48"/>
      <c r="E503" s="48"/>
      <c r="F503" s="48"/>
      <c r="G503" s="48"/>
      <c r="H503" s="48"/>
      <c r="I503" s="48"/>
      <c r="J503" s="48"/>
      <c r="K503" s="48"/>
      <c r="L503" s="48"/>
      <c r="M503" s="48"/>
      <c r="N503" s="48"/>
      <c r="O503" s="48"/>
      <c r="P503" s="48"/>
      <c r="Q503" s="48"/>
      <c r="R503" s="48"/>
      <c r="S503" s="48"/>
      <c r="T503" s="48"/>
      <c r="U503" s="48"/>
      <c r="V503" s="48"/>
    </row>
    <row r="504" spans="1:22">
      <c r="A504" s="48"/>
      <c r="B504" s="48"/>
      <c r="C504" s="48"/>
      <c r="D504" s="48"/>
      <c r="E504" s="48"/>
      <c r="F504" s="48"/>
      <c r="G504" s="48"/>
      <c r="H504" s="48"/>
      <c r="I504" s="48"/>
      <c r="J504" s="48"/>
      <c r="K504" s="48"/>
      <c r="L504" s="48"/>
      <c r="M504" s="48"/>
      <c r="N504" s="48"/>
      <c r="O504" s="48"/>
      <c r="P504" s="48"/>
      <c r="Q504" s="48"/>
      <c r="R504" s="48"/>
      <c r="S504" s="48"/>
      <c r="T504" s="48"/>
      <c r="U504" s="48"/>
      <c r="V504" s="48"/>
    </row>
    <row r="505" spans="1:22">
      <c r="A505" s="48"/>
      <c r="B505" s="48"/>
      <c r="C505" s="48"/>
      <c r="D505" s="48"/>
      <c r="E505" s="48"/>
      <c r="F505" s="48"/>
      <c r="G505" s="48"/>
      <c r="H505" s="48"/>
      <c r="I505" s="48"/>
      <c r="J505" s="48"/>
      <c r="K505" s="48"/>
      <c r="L505" s="48"/>
      <c r="M505" s="48"/>
      <c r="N505" s="48"/>
      <c r="O505" s="48"/>
      <c r="P505" s="48"/>
      <c r="Q505" s="48"/>
      <c r="R505" s="48"/>
      <c r="S505" s="48"/>
      <c r="T505" s="48"/>
      <c r="U505" s="48"/>
      <c r="V505" s="48"/>
    </row>
    <row r="506" spans="1:22">
      <c r="A506" s="48"/>
      <c r="B506" s="48"/>
      <c r="C506" s="48"/>
      <c r="D506" s="48"/>
      <c r="E506" s="48"/>
      <c r="F506" s="48"/>
      <c r="G506" s="48"/>
      <c r="H506" s="48"/>
      <c r="I506" s="48"/>
      <c r="J506" s="48"/>
      <c r="K506" s="48"/>
      <c r="L506" s="48"/>
      <c r="M506" s="48"/>
      <c r="N506" s="48"/>
      <c r="O506" s="48"/>
      <c r="P506" s="48"/>
      <c r="Q506" s="48"/>
      <c r="R506" s="48"/>
      <c r="S506" s="48"/>
      <c r="T506" s="48"/>
      <c r="U506" s="48"/>
      <c r="V506" s="48"/>
    </row>
    <row r="507" spans="1:22">
      <c r="A507" s="48"/>
      <c r="B507" s="48"/>
      <c r="C507" s="48"/>
      <c r="D507" s="48"/>
      <c r="E507" s="48"/>
      <c r="F507" s="48"/>
      <c r="G507" s="48"/>
      <c r="H507" s="48"/>
      <c r="I507" s="48"/>
      <c r="J507" s="48"/>
      <c r="K507" s="48"/>
      <c r="L507" s="48"/>
      <c r="M507" s="48"/>
      <c r="N507" s="48"/>
      <c r="O507" s="48"/>
      <c r="P507" s="48"/>
      <c r="Q507" s="48"/>
      <c r="R507" s="48"/>
      <c r="S507" s="48"/>
      <c r="T507" s="48"/>
      <c r="U507" s="48"/>
      <c r="V507" s="48"/>
    </row>
    <row r="508" spans="1:22">
      <c r="A508" s="48"/>
      <c r="B508" s="48"/>
      <c r="C508" s="48"/>
      <c r="D508" s="48"/>
      <c r="E508" s="48"/>
      <c r="F508" s="48"/>
      <c r="G508" s="48"/>
      <c r="H508" s="48"/>
      <c r="I508" s="48"/>
      <c r="J508" s="48"/>
      <c r="K508" s="48"/>
      <c r="L508" s="48"/>
      <c r="M508" s="48"/>
      <c r="N508" s="48"/>
      <c r="O508" s="48"/>
      <c r="P508" s="48"/>
      <c r="Q508" s="48"/>
      <c r="R508" s="48"/>
      <c r="S508" s="48"/>
      <c r="T508" s="48"/>
      <c r="U508" s="48"/>
      <c r="V508" s="48"/>
    </row>
    <row r="509" spans="1:22">
      <c r="A509" s="48"/>
      <c r="B509" s="48"/>
      <c r="C509" s="48"/>
      <c r="D509" s="48"/>
      <c r="E509" s="48"/>
      <c r="F509" s="48"/>
      <c r="G509" s="48"/>
      <c r="H509" s="48"/>
      <c r="I509" s="48"/>
      <c r="J509" s="48"/>
      <c r="K509" s="48"/>
      <c r="L509" s="48"/>
      <c r="M509" s="48"/>
      <c r="N509" s="48"/>
      <c r="O509" s="48"/>
      <c r="P509" s="48"/>
      <c r="Q509" s="48"/>
      <c r="R509" s="48"/>
      <c r="S509" s="48"/>
      <c r="T509" s="48"/>
      <c r="U509" s="48"/>
      <c r="V509" s="48"/>
    </row>
    <row r="510" spans="1:22">
      <c r="A510" s="48"/>
      <c r="B510" s="48"/>
      <c r="C510" s="48"/>
      <c r="D510" s="48"/>
      <c r="E510" s="48"/>
      <c r="F510" s="48"/>
      <c r="G510" s="48"/>
      <c r="H510" s="48"/>
      <c r="I510" s="48"/>
      <c r="J510" s="48"/>
      <c r="K510" s="48"/>
      <c r="L510" s="48"/>
      <c r="M510" s="48"/>
      <c r="N510" s="48"/>
      <c r="O510" s="48"/>
      <c r="P510" s="48"/>
      <c r="Q510" s="48"/>
      <c r="R510" s="48"/>
      <c r="S510" s="48"/>
      <c r="T510" s="48"/>
      <c r="U510" s="48"/>
      <c r="V510" s="48"/>
    </row>
    <row r="511" spans="1:22">
      <c r="A511" s="48"/>
      <c r="B511" s="48"/>
      <c r="C511" s="48"/>
      <c r="D511" s="48"/>
      <c r="E511" s="48"/>
      <c r="F511" s="48"/>
      <c r="G511" s="48"/>
      <c r="H511" s="48"/>
      <c r="I511" s="48"/>
      <c r="J511" s="48"/>
      <c r="K511" s="48"/>
      <c r="L511" s="48"/>
      <c r="M511" s="48"/>
      <c r="N511" s="48"/>
      <c r="O511" s="48"/>
      <c r="P511" s="48"/>
      <c r="Q511" s="48"/>
      <c r="R511" s="48"/>
      <c r="S511" s="48"/>
      <c r="T511" s="48"/>
      <c r="U511" s="48"/>
      <c r="V511" s="48"/>
    </row>
    <row r="512" spans="1:22">
      <c r="A512" s="48"/>
      <c r="B512" s="48"/>
      <c r="C512" s="48"/>
      <c r="D512" s="48"/>
      <c r="E512" s="48"/>
      <c r="F512" s="48"/>
      <c r="G512" s="48"/>
      <c r="H512" s="48"/>
      <c r="I512" s="48"/>
      <c r="J512" s="48"/>
      <c r="K512" s="48"/>
      <c r="L512" s="48"/>
      <c r="M512" s="48"/>
      <c r="N512" s="48"/>
      <c r="O512" s="48"/>
      <c r="P512" s="48"/>
      <c r="Q512" s="48"/>
      <c r="R512" s="48"/>
      <c r="S512" s="48"/>
      <c r="T512" s="48"/>
      <c r="U512" s="48"/>
      <c r="V512" s="48"/>
    </row>
    <row r="513" spans="1:22">
      <c r="A513" s="48"/>
      <c r="B513" s="48"/>
      <c r="C513" s="48"/>
      <c r="D513" s="48"/>
      <c r="E513" s="48"/>
      <c r="F513" s="48"/>
      <c r="G513" s="48"/>
      <c r="H513" s="48"/>
      <c r="I513" s="48"/>
      <c r="J513" s="48"/>
      <c r="K513" s="48"/>
      <c r="L513" s="48"/>
      <c r="M513" s="48"/>
      <c r="N513" s="48"/>
      <c r="O513" s="48"/>
      <c r="P513" s="48"/>
      <c r="Q513" s="48"/>
      <c r="R513" s="48"/>
      <c r="S513" s="48"/>
      <c r="T513" s="48"/>
      <c r="U513" s="48"/>
      <c r="V513" s="48"/>
    </row>
    <row r="514" spans="1:22">
      <c r="A514" s="48"/>
      <c r="B514" s="48"/>
      <c r="C514" s="48"/>
      <c r="D514" s="48"/>
      <c r="E514" s="48"/>
      <c r="F514" s="48"/>
      <c r="G514" s="48"/>
      <c r="H514" s="48"/>
      <c r="I514" s="48"/>
      <c r="J514" s="48"/>
      <c r="K514" s="48"/>
      <c r="L514" s="48"/>
      <c r="M514" s="48"/>
      <c r="N514" s="48"/>
      <c r="O514" s="48"/>
      <c r="P514" s="48"/>
      <c r="Q514" s="48"/>
      <c r="R514" s="48"/>
      <c r="S514" s="48"/>
      <c r="T514" s="48"/>
      <c r="U514" s="48"/>
      <c r="V514" s="48"/>
    </row>
    <row r="515" spans="1:22">
      <c r="A515" s="48"/>
      <c r="B515" s="48"/>
      <c r="C515" s="48"/>
      <c r="D515" s="48"/>
      <c r="E515" s="48"/>
      <c r="F515" s="48"/>
      <c r="G515" s="48"/>
      <c r="H515" s="48"/>
      <c r="I515" s="48"/>
      <c r="J515" s="48"/>
      <c r="K515" s="48"/>
      <c r="L515" s="48"/>
      <c r="M515" s="48"/>
      <c r="N515" s="48"/>
      <c r="O515" s="48"/>
      <c r="P515" s="48"/>
      <c r="Q515" s="48"/>
      <c r="R515" s="48"/>
      <c r="S515" s="48"/>
      <c r="T515" s="48"/>
      <c r="U515" s="48"/>
      <c r="V515" s="48"/>
    </row>
    <row r="516" spans="1:22">
      <c r="A516" s="48"/>
      <c r="B516" s="48"/>
      <c r="C516" s="48"/>
      <c r="D516" s="48"/>
      <c r="E516" s="48"/>
      <c r="F516" s="48"/>
      <c r="G516" s="48"/>
      <c r="H516" s="48"/>
      <c r="I516" s="48"/>
      <c r="J516" s="48"/>
      <c r="K516" s="48"/>
      <c r="L516" s="48"/>
      <c r="M516" s="48"/>
      <c r="N516" s="48"/>
      <c r="O516" s="48"/>
      <c r="P516" s="48"/>
      <c r="Q516" s="48"/>
      <c r="R516" s="48"/>
      <c r="S516" s="48"/>
      <c r="T516" s="48"/>
      <c r="U516" s="48"/>
      <c r="V516" s="48"/>
    </row>
    <row r="517" spans="1:22">
      <c r="A517" s="48"/>
      <c r="B517" s="48"/>
      <c r="C517" s="48"/>
      <c r="D517" s="48"/>
      <c r="E517" s="48"/>
      <c r="F517" s="48"/>
      <c r="G517" s="48"/>
      <c r="H517" s="48"/>
      <c r="I517" s="48"/>
      <c r="J517" s="48"/>
      <c r="K517" s="48"/>
      <c r="L517" s="48"/>
      <c r="M517" s="48"/>
      <c r="N517" s="48"/>
      <c r="O517" s="48"/>
      <c r="P517" s="48"/>
      <c r="Q517" s="48"/>
      <c r="R517" s="48"/>
      <c r="S517" s="48"/>
      <c r="T517" s="48"/>
      <c r="U517" s="48"/>
      <c r="V517" s="48"/>
    </row>
    <row r="518" spans="1:22">
      <c r="A518" s="48"/>
      <c r="B518" s="48"/>
      <c r="C518" s="48"/>
      <c r="D518" s="48"/>
      <c r="E518" s="48"/>
      <c r="F518" s="48"/>
      <c r="G518" s="48"/>
      <c r="H518" s="48"/>
      <c r="I518" s="48"/>
      <c r="J518" s="48"/>
      <c r="K518" s="48"/>
      <c r="L518" s="48"/>
      <c r="M518" s="48"/>
      <c r="N518" s="48"/>
      <c r="O518" s="48"/>
      <c r="P518" s="48"/>
      <c r="Q518" s="48"/>
      <c r="R518" s="48"/>
      <c r="S518" s="48"/>
      <c r="T518" s="48"/>
      <c r="U518" s="48"/>
      <c r="V518" s="48"/>
    </row>
    <row r="519" spans="1:22">
      <c r="A519" s="48"/>
      <c r="B519" s="48"/>
      <c r="C519" s="48"/>
      <c r="D519" s="48"/>
      <c r="E519" s="48"/>
      <c r="F519" s="48"/>
      <c r="G519" s="48"/>
      <c r="H519" s="48"/>
      <c r="I519" s="48"/>
      <c r="J519" s="48"/>
      <c r="K519" s="48"/>
      <c r="L519" s="48"/>
      <c r="M519" s="48"/>
      <c r="N519" s="48"/>
      <c r="O519" s="48"/>
      <c r="P519" s="48"/>
      <c r="Q519" s="48"/>
      <c r="R519" s="48"/>
      <c r="S519" s="48"/>
      <c r="T519" s="48"/>
      <c r="U519" s="48"/>
      <c r="V519" s="48"/>
    </row>
    <row r="520" spans="1:22">
      <c r="A520" s="48"/>
      <c r="B520" s="48"/>
      <c r="C520" s="48"/>
      <c r="D520" s="48"/>
      <c r="E520" s="48"/>
      <c r="F520" s="48"/>
      <c r="G520" s="48"/>
      <c r="H520" s="48"/>
      <c r="I520" s="48"/>
      <c r="J520" s="48"/>
      <c r="K520" s="48"/>
      <c r="L520" s="48"/>
      <c r="M520" s="48"/>
      <c r="N520" s="48"/>
      <c r="O520" s="48"/>
      <c r="P520" s="48"/>
      <c r="Q520" s="48"/>
      <c r="R520" s="48"/>
      <c r="S520" s="48"/>
      <c r="T520" s="48"/>
      <c r="U520" s="48"/>
      <c r="V520" s="48"/>
    </row>
    <row r="521" spans="1:22">
      <c r="A521" s="48"/>
      <c r="B521" s="48"/>
      <c r="C521" s="48"/>
      <c r="D521" s="48"/>
      <c r="E521" s="48"/>
      <c r="F521" s="48"/>
      <c r="G521" s="48"/>
      <c r="H521" s="48"/>
      <c r="I521" s="48"/>
      <c r="J521" s="48"/>
      <c r="K521" s="48"/>
      <c r="L521" s="48"/>
      <c r="M521" s="48"/>
      <c r="N521" s="48"/>
      <c r="O521" s="48"/>
      <c r="P521" s="48"/>
      <c r="Q521" s="48"/>
      <c r="R521" s="48"/>
      <c r="S521" s="48"/>
      <c r="T521" s="48"/>
      <c r="U521" s="48"/>
      <c r="V521" s="48"/>
    </row>
    <row r="522" spans="1:22">
      <c r="A522" s="48"/>
      <c r="B522" s="48"/>
      <c r="C522" s="48"/>
      <c r="D522" s="48"/>
      <c r="E522" s="48"/>
      <c r="F522" s="48"/>
      <c r="G522" s="48"/>
      <c r="H522" s="48"/>
      <c r="I522" s="48"/>
      <c r="J522" s="48"/>
      <c r="K522" s="48"/>
      <c r="L522" s="48"/>
      <c r="M522" s="48"/>
      <c r="N522" s="48"/>
      <c r="O522" s="48"/>
      <c r="P522" s="48"/>
      <c r="Q522" s="48"/>
      <c r="R522" s="48"/>
      <c r="S522" s="48"/>
      <c r="T522" s="48"/>
      <c r="U522" s="48"/>
      <c r="V522" s="48"/>
    </row>
    <row r="523" spans="1:22">
      <c r="A523" s="48"/>
      <c r="B523" s="48"/>
      <c r="C523" s="48"/>
      <c r="D523" s="48"/>
      <c r="E523" s="48"/>
      <c r="F523" s="48"/>
      <c r="G523" s="48"/>
      <c r="H523" s="48"/>
      <c r="I523" s="48"/>
      <c r="J523" s="48"/>
      <c r="K523" s="48"/>
      <c r="L523" s="48"/>
      <c r="M523" s="48"/>
      <c r="N523" s="48"/>
      <c r="O523" s="48"/>
      <c r="P523" s="48"/>
      <c r="Q523" s="48"/>
      <c r="R523" s="48"/>
      <c r="S523" s="48"/>
      <c r="T523" s="48"/>
      <c r="U523" s="48"/>
      <c r="V523" s="48"/>
    </row>
    <row r="524" spans="1:22">
      <c r="A524" s="48"/>
      <c r="B524" s="48"/>
      <c r="C524" s="48"/>
      <c r="D524" s="48"/>
      <c r="E524" s="48"/>
      <c r="F524" s="48"/>
      <c r="G524" s="48"/>
      <c r="H524" s="48"/>
      <c r="I524" s="48"/>
      <c r="J524" s="48"/>
      <c r="K524" s="48"/>
      <c r="L524" s="48"/>
      <c r="M524" s="48"/>
      <c r="N524" s="48"/>
      <c r="O524" s="48"/>
      <c r="P524" s="48"/>
      <c r="Q524" s="48"/>
      <c r="R524" s="48"/>
      <c r="S524" s="48"/>
      <c r="T524" s="48"/>
      <c r="U524" s="48"/>
      <c r="V524" s="48"/>
    </row>
    <row r="525" spans="1:22">
      <c r="A525" s="48"/>
      <c r="B525" s="48"/>
      <c r="C525" s="48"/>
      <c r="D525" s="48"/>
      <c r="E525" s="48"/>
      <c r="F525" s="48"/>
      <c r="G525" s="48"/>
      <c r="H525" s="48"/>
      <c r="I525" s="48"/>
      <c r="J525" s="48"/>
      <c r="K525" s="48"/>
      <c r="L525" s="48"/>
      <c r="M525" s="48"/>
      <c r="N525" s="48"/>
      <c r="O525" s="48"/>
      <c r="P525" s="48"/>
      <c r="Q525" s="48"/>
      <c r="R525" s="48"/>
      <c r="S525" s="48"/>
      <c r="T525" s="48"/>
      <c r="U525" s="48"/>
      <c r="V525" s="48"/>
    </row>
    <row r="526" spans="1:22">
      <c r="A526" s="48"/>
      <c r="B526" s="48"/>
      <c r="C526" s="48"/>
      <c r="D526" s="48"/>
      <c r="E526" s="48"/>
      <c r="F526" s="48"/>
      <c r="G526" s="48"/>
      <c r="H526" s="48"/>
      <c r="I526" s="48"/>
      <c r="J526" s="48"/>
      <c r="K526" s="48"/>
      <c r="L526" s="48"/>
      <c r="M526" s="48"/>
      <c r="N526" s="48"/>
      <c r="O526" s="48"/>
      <c r="P526" s="48"/>
      <c r="Q526" s="48"/>
      <c r="R526" s="48"/>
      <c r="S526" s="48"/>
      <c r="T526" s="48"/>
      <c r="U526" s="48"/>
      <c r="V526" s="48"/>
    </row>
    <row r="527" spans="1:22">
      <c r="A527" s="48"/>
      <c r="B527" s="48"/>
      <c r="C527" s="48"/>
      <c r="D527" s="48"/>
      <c r="E527" s="48"/>
      <c r="F527" s="48"/>
      <c r="G527" s="48"/>
      <c r="H527" s="48"/>
      <c r="I527" s="48"/>
      <c r="J527" s="48"/>
      <c r="K527" s="48"/>
      <c r="L527" s="48"/>
      <c r="M527" s="48"/>
      <c r="N527" s="48"/>
      <c r="O527" s="48"/>
      <c r="P527" s="48"/>
      <c r="Q527" s="48"/>
      <c r="R527" s="48"/>
      <c r="S527" s="48"/>
      <c r="T527" s="48"/>
      <c r="U527" s="48"/>
      <c r="V527" s="48"/>
    </row>
    <row r="528" spans="1:22">
      <c r="A528" s="48"/>
      <c r="B528" s="48"/>
      <c r="C528" s="48"/>
      <c r="D528" s="48"/>
      <c r="E528" s="48"/>
      <c r="F528" s="48"/>
      <c r="G528" s="48"/>
      <c r="H528" s="48"/>
      <c r="I528" s="48"/>
      <c r="J528" s="48"/>
      <c r="K528" s="48"/>
      <c r="L528" s="48"/>
      <c r="M528" s="48"/>
      <c r="N528" s="48"/>
      <c r="O528" s="48"/>
      <c r="P528" s="48"/>
      <c r="Q528" s="48"/>
      <c r="R528" s="48"/>
      <c r="S528" s="48"/>
      <c r="T528" s="48"/>
      <c r="U528" s="48"/>
      <c r="V528" s="48"/>
    </row>
    <row r="529" spans="1:22">
      <c r="A529" s="48"/>
      <c r="B529" s="48"/>
      <c r="C529" s="48"/>
      <c r="D529" s="48"/>
      <c r="E529" s="48"/>
      <c r="F529" s="48"/>
      <c r="G529" s="48"/>
      <c r="H529" s="48"/>
      <c r="I529" s="48"/>
      <c r="J529" s="48"/>
      <c r="K529" s="48"/>
      <c r="L529" s="48"/>
      <c r="M529" s="48"/>
      <c r="N529" s="48"/>
      <c r="O529" s="48"/>
      <c r="P529" s="48"/>
      <c r="Q529" s="48"/>
      <c r="R529" s="48"/>
      <c r="S529" s="48"/>
      <c r="T529" s="48"/>
      <c r="U529" s="48"/>
      <c r="V529" s="48"/>
    </row>
    <row r="530" spans="1:22">
      <c r="A530" s="48"/>
      <c r="B530" s="48"/>
      <c r="C530" s="48"/>
      <c r="D530" s="48"/>
      <c r="E530" s="48"/>
      <c r="F530" s="48"/>
      <c r="G530" s="48"/>
      <c r="H530" s="48"/>
      <c r="I530" s="48"/>
      <c r="J530" s="48"/>
      <c r="K530" s="48"/>
      <c r="L530" s="48"/>
      <c r="M530" s="48"/>
      <c r="N530" s="48"/>
      <c r="O530" s="48"/>
      <c r="P530" s="48"/>
      <c r="Q530" s="48"/>
      <c r="R530" s="48"/>
      <c r="S530" s="48"/>
      <c r="T530" s="48"/>
      <c r="U530" s="48"/>
      <c r="V530" s="48"/>
    </row>
    <row r="531" spans="1:22">
      <c r="A531" s="48"/>
      <c r="B531" s="48"/>
      <c r="C531" s="48"/>
      <c r="D531" s="48"/>
      <c r="E531" s="48"/>
      <c r="F531" s="48"/>
      <c r="G531" s="48"/>
      <c r="H531" s="48"/>
      <c r="I531" s="48"/>
      <c r="J531" s="48"/>
      <c r="K531" s="48"/>
      <c r="L531" s="48"/>
      <c r="M531" s="48"/>
      <c r="N531" s="48"/>
      <c r="O531" s="48"/>
      <c r="P531" s="48"/>
      <c r="Q531" s="48"/>
      <c r="R531" s="48"/>
      <c r="S531" s="48"/>
      <c r="T531" s="48"/>
      <c r="U531" s="48"/>
      <c r="V531" s="48"/>
    </row>
    <row r="532" spans="1:22">
      <c r="A532" s="48"/>
      <c r="B532" s="48"/>
      <c r="C532" s="48"/>
      <c r="D532" s="48"/>
      <c r="E532" s="48"/>
      <c r="F532" s="48"/>
      <c r="G532" s="48"/>
      <c r="H532" s="48"/>
      <c r="I532" s="48"/>
      <c r="J532" s="48"/>
      <c r="K532" s="48"/>
      <c r="L532" s="48"/>
      <c r="M532" s="48"/>
      <c r="N532" s="48"/>
      <c r="O532" s="48"/>
      <c r="P532" s="48"/>
      <c r="Q532" s="48"/>
      <c r="R532" s="48"/>
      <c r="S532" s="48"/>
      <c r="T532" s="48"/>
      <c r="U532" s="48"/>
      <c r="V532" s="48"/>
    </row>
    <row r="533" spans="1:22">
      <c r="A533" s="48"/>
      <c r="B533" s="48"/>
      <c r="C533" s="48"/>
      <c r="D533" s="48"/>
      <c r="E533" s="48"/>
      <c r="F533" s="48"/>
      <c r="G533" s="48"/>
      <c r="H533" s="48"/>
      <c r="I533" s="48"/>
      <c r="J533" s="48"/>
      <c r="K533" s="48"/>
      <c r="L533" s="48"/>
      <c r="M533" s="48"/>
      <c r="N533" s="48"/>
      <c r="O533" s="48"/>
      <c r="P533" s="48"/>
      <c r="Q533" s="48"/>
      <c r="R533" s="48"/>
      <c r="S533" s="48"/>
      <c r="T533" s="48"/>
      <c r="U533" s="48"/>
      <c r="V533" s="48"/>
    </row>
    <row r="534" spans="1:22">
      <c r="A534" s="48"/>
      <c r="B534" s="48"/>
      <c r="C534" s="48"/>
      <c r="D534" s="48"/>
      <c r="E534" s="48"/>
      <c r="F534" s="48"/>
      <c r="G534" s="48"/>
      <c r="H534" s="48"/>
      <c r="I534" s="48"/>
      <c r="J534" s="48"/>
      <c r="K534" s="48"/>
      <c r="L534" s="48"/>
      <c r="M534" s="48"/>
      <c r="N534" s="48"/>
      <c r="O534" s="48"/>
      <c r="P534" s="48"/>
      <c r="Q534" s="48"/>
      <c r="R534" s="48"/>
      <c r="S534" s="48"/>
      <c r="T534" s="48"/>
      <c r="U534" s="48"/>
      <c r="V534" s="48"/>
    </row>
    <row r="535" spans="1:22">
      <c r="A535" s="48"/>
      <c r="B535" s="48"/>
      <c r="C535" s="48"/>
      <c r="D535" s="48"/>
      <c r="E535" s="48"/>
      <c r="F535" s="48"/>
      <c r="G535" s="48"/>
      <c r="H535" s="48"/>
      <c r="I535" s="48"/>
      <c r="J535" s="48"/>
      <c r="K535" s="48"/>
      <c r="L535" s="48"/>
      <c r="M535" s="48"/>
      <c r="N535" s="48"/>
      <c r="O535" s="48"/>
      <c r="P535" s="48"/>
      <c r="Q535" s="48"/>
      <c r="R535" s="48"/>
      <c r="S535" s="48"/>
      <c r="T535" s="48"/>
      <c r="U535" s="48"/>
      <c r="V535" s="48"/>
    </row>
    <row r="536" spans="1:22">
      <c r="A536" s="48"/>
      <c r="B536" s="48"/>
      <c r="C536" s="48"/>
      <c r="D536" s="48"/>
      <c r="E536" s="48"/>
      <c r="F536" s="48"/>
      <c r="G536" s="48"/>
      <c r="H536" s="48"/>
      <c r="I536" s="48"/>
      <c r="J536" s="48"/>
      <c r="K536" s="48"/>
      <c r="L536" s="48"/>
      <c r="M536" s="48"/>
      <c r="N536" s="48"/>
      <c r="O536" s="48"/>
      <c r="P536" s="48"/>
      <c r="Q536" s="48"/>
      <c r="R536" s="48"/>
      <c r="S536" s="48"/>
      <c r="T536" s="48"/>
      <c r="U536" s="48"/>
      <c r="V536" s="48"/>
    </row>
    <row r="537" spans="1:22">
      <c r="A537" s="48"/>
      <c r="B537" s="48"/>
      <c r="C537" s="48"/>
      <c r="D537" s="48"/>
      <c r="E537" s="48"/>
      <c r="F537" s="48"/>
      <c r="G537" s="48"/>
      <c r="H537" s="48"/>
      <c r="I537" s="48"/>
      <c r="J537" s="48"/>
      <c r="K537" s="48"/>
      <c r="L537" s="48"/>
      <c r="M537" s="48"/>
      <c r="N537" s="48"/>
      <c r="O537" s="48"/>
      <c r="P537" s="48"/>
      <c r="Q537" s="48"/>
      <c r="R537" s="48"/>
      <c r="S537" s="48"/>
      <c r="T537" s="48"/>
      <c r="U537" s="48"/>
      <c r="V537" s="48"/>
    </row>
    <row r="538" spans="1:22">
      <c r="A538" s="48"/>
      <c r="B538" s="48"/>
      <c r="C538" s="48"/>
      <c r="D538" s="48"/>
      <c r="E538" s="48"/>
      <c r="F538" s="48"/>
      <c r="G538" s="48"/>
      <c r="H538" s="48"/>
      <c r="I538" s="48"/>
      <c r="J538" s="48"/>
      <c r="K538" s="48"/>
      <c r="L538" s="48"/>
      <c r="M538" s="48"/>
      <c r="N538" s="48"/>
      <c r="O538" s="48"/>
      <c r="P538" s="48"/>
      <c r="Q538" s="48"/>
      <c r="R538" s="48"/>
      <c r="S538" s="48"/>
      <c r="T538" s="48"/>
      <c r="U538" s="48"/>
      <c r="V538" s="48"/>
    </row>
    <row r="539" spans="1:22">
      <c r="A539" s="48"/>
      <c r="B539" s="48"/>
      <c r="C539" s="48"/>
      <c r="D539" s="48"/>
      <c r="E539" s="48"/>
      <c r="F539" s="48"/>
      <c r="G539" s="48"/>
      <c r="H539" s="48"/>
      <c r="I539" s="48"/>
      <c r="J539" s="48"/>
      <c r="K539" s="48"/>
      <c r="L539" s="48"/>
      <c r="M539" s="48"/>
      <c r="N539" s="48"/>
      <c r="O539" s="48"/>
      <c r="P539" s="48"/>
      <c r="Q539" s="48"/>
      <c r="R539" s="48"/>
      <c r="S539" s="48"/>
      <c r="T539" s="48"/>
      <c r="U539" s="48"/>
      <c r="V539" s="48"/>
    </row>
    <row r="540" spans="1:22">
      <c r="A540" s="48"/>
      <c r="B540" s="48"/>
      <c r="C540" s="48"/>
      <c r="D540" s="48"/>
      <c r="E540" s="48"/>
      <c r="F540" s="48"/>
      <c r="G540" s="48"/>
      <c r="H540" s="48"/>
      <c r="I540" s="48"/>
      <c r="J540" s="48"/>
      <c r="K540" s="48"/>
      <c r="L540" s="48"/>
      <c r="M540" s="48"/>
      <c r="N540" s="48"/>
      <c r="O540" s="48"/>
      <c r="P540" s="48"/>
      <c r="Q540" s="48"/>
      <c r="R540" s="48"/>
      <c r="S540" s="48"/>
      <c r="T540" s="48"/>
      <c r="U540" s="48"/>
      <c r="V540" s="48"/>
    </row>
    <row r="541" spans="1:22">
      <c r="A541" s="48"/>
      <c r="B541" s="48"/>
      <c r="C541" s="48"/>
      <c r="D541" s="48"/>
      <c r="E541" s="48"/>
      <c r="F541" s="48"/>
      <c r="G541" s="48"/>
      <c r="H541" s="48"/>
      <c r="I541" s="48"/>
      <c r="J541" s="48"/>
      <c r="K541" s="48"/>
      <c r="L541" s="48"/>
      <c r="M541" s="48"/>
      <c r="N541" s="48"/>
      <c r="O541" s="48"/>
      <c r="P541" s="48"/>
      <c r="Q541" s="48"/>
      <c r="R541" s="48"/>
      <c r="S541" s="48"/>
      <c r="T541" s="48"/>
      <c r="U541" s="48"/>
      <c r="V541" s="48"/>
    </row>
    <row r="542" spans="1:22">
      <c r="A542" s="48"/>
      <c r="B542" s="48"/>
      <c r="C542" s="48"/>
      <c r="D542" s="48"/>
      <c r="E542" s="48"/>
      <c r="F542" s="48"/>
      <c r="G542" s="48"/>
      <c r="H542" s="48"/>
      <c r="I542" s="48"/>
      <c r="J542" s="48"/>
      <c r="K542" s="48"/>
      <c r="L542" s="48"/>
      <c r="M542" s="48"/>
      <c r="N542" s="48"/>
      <c r="O542" s="48"/>
      <c r="P542" s="48"/>
      <c r="Q542" s="48"/>
      <c r="R542" s="48"/>
      <c r="S542" s="48"/>
      <c r="T542" s="48"/>
      <c r="U542" s="48"/>
      <c r="V542" s="48"/>
    </row>
    <row r="543" spans="1:22">
      <c r="A543" s="48"/>
      <c r="B543" s="48"/>
      <c r="C543" s="48"/>
      <c r="D543" s="48"/>
      <c r="E543" s="48"/>
      <c r="F543" s="48"/>
      <c r="G543" s="48"/>
      <c r="H543" s="48"/>
      <c r="I543" s="48"/>
      <c r="J543" s="48"/>
      <c r="K543" s="48"/>
      <c r="L543" s="48"/>
      <c r="M543" s="48"/>
      <c r="N543" s="48"/>
      <c r="O543" s="48"/>
      <c r="P543" s="48"/>
      <c r="Q543" s="48"/>
      <c r="R543" s="48"/>
      <c r="S543" s="48"/>
      <c r="T543" s="48"/>
      <c r="U543" s="48"/>
      <c r="V543" s="48"/>
    </row>
    <row r="544" spans="1:22">
      <c r="A544" s="48"/>
      <c r="B544" s="48"/>
      <c r="C544" s="48"/>
      <c r="D544" s="48"/>
      <c r="E544" s="48"/>
      <c r="F544" s="48"/>
      <c r="G544" s="48"/>
      <c r="H544" s="48"/>
      <c r="I544" s="48"/>
      <c r="J544" s="48"/>
      <c r="K544" s="48"/>
      <c r="L544" s="48"/>
      <c r="M544" s="48"/>
      <c r="N544" s="48"/>
      <c r="O544" s="48"/>
      <c r="P544" s="48"/>
      <c r="Q544" s="48"/>
      <c r="R544" s="48"/>
      <c r="S544" s="48"/>
      <c r="T544" s="48"/>
      <c r="U544" s="48"/>
      <c r="V544" s="48"/>
    </row>
    <row r="545" spans="1:22">
      <c r="A545" s="48"/>
      <c r="B545" s="48"/>
      <c r="C545" s="48"/>
      <c r="D545" s="48"/>
      <c r="E545" s="48"/>
      <c r="F545" s="48"/>
      <c r="G545" s="48"/>
      <c r="H545" s="48"/>
      <c r="I545" s="48"/>
      <c r="J545" s="48"/>
      <c r="K545" s="48"/>
      <c r="L545" s="48"/>
      <c r="M545" s="48"/>
      <c r="N545" s="48"/>
      <c r="O545" s="48"/>
      <c r="P545" s="48"/>
      <c r="Q545" s="48"/>
      <c r="R545" s="48"/>
      <c r="S545" s="48"/>
      <c r="T545" s="48"/>
      <c r="U545" s="48"/>
      <c r="V545" s="48"/>
    </row>
    <row r="546" spans="1:22">
      <c r="A546" s="48"/>
      <c r="B546" s="48"/>
      <c r="C546" s="48"/>
      <c r="D546" s="48"/>
      <c r="E546" s="48"/>
      <c r="F546" s="48"/>
      <c r="G546" s="48"/>
      <c r="H546" s="48"/>
      <c r="I546" s="48"/>
      <c r="J546" s="48"/>
      <c r="K546" s="48"/>
      <c r="L546" s="48"/>
      <c r="M546" s="48"/>
      <c r="N546" s="48"/>
      <c r="O546" s="48"/>
      <c r="P546" s="48"/>
      <c r="Q546" s="48"/>
      <c r="R546" s="48"/>
      <c r="S546" s="48"/>
      <c r="T546" s="48"/>
      <c r="U546" s="48"/>
      <c r="V546" s="48"/>
    </row>
    <row r="547" spans="1:22">
      <c r="A547" s="48"/>
      <c r="B547" s="48"/>
      <c r="C547" s="48"/>
      <c r="D547" s="48"/>
      <c r="E547" s="48"/>
      <c r="F547" s="48"/>
      <c r="G547" s="48"/>
      <c r="H547" s="48"/>
      <c r="I547" s="48"/>
      <c r="J547" s="48"/>
      <c r="K547" s="48"/>
      <c r="L547" s="48"/>
      <c r="M547" s="48"/>
      <c r="N547" s="48"/>
      <c r="O547" s="48"/>
      <c r="P547" s="48"/>
      <c r="Q547" s="48"/>
      <c r="R547" s="48"/>
      <c r="S547" s="48"/>
      <c r="T547" s="48"/>
      <c r="U547" s="48"/>
      <c r="V547" s="48"/>
    </row>
  </sheetData>
  <mergeCells count="11">
    <mergeCell ref="D39:E39"/>
    <mergeCell ref="D50:E50"/>
    <mergeCell ref="C52:E52"/>
    <mergeCell ref="G52:I52"/>
    <mergeCell ref="D15:F15"/>
    <mergeCell ref="D17:F17"/>
    <mergeCell ref="I15:K15"/>
    <mergeCell ref="I17:K17"/>
    <mergeCell ref="C19:K19"/>
    <mergeCell ref="C22:E22"/>
    <mergeCell ref="G22:I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10"/>
  <sheetViews>
    <sheetView workbookViewId="0">
      <selection activeCell="H41" sqref="H41:J41"/>
    </sheetView>
  </sheetViews>
  <sheetFormatPr baseColWidth="10" defaultRowHeight="12.75"/>
  <cols>
    <col min="6" max="6" width="20.7109375" bestFit="1" customWidth="1"/>
  </cols>
  <sheetData>
    <row r="1" spans="1:24">
      <c r="A1" s="53"/>
      <c r="B1" s="53"/>
      <c r="C1" s="53"/>
      <c r="D1" s="53"/>
      <c r="E1" s="53"/>
      <c r="F1" s="53"/>
      <c r="G1" s="53"/>
      <c r="H1" s="53"/>
      <c r="I1" s="53"/>
      <c r="J1" s="53"/>
      <c r="K1" s="53"/>
      <c r="L1" s="53"/>
      <c r="M1" s="53"/>
      <c r="N1" s="53"/>
      <c r="O1" s="53"/>
      <c r="P1" s="53"/>
      <c r="Q1" s="53"/>
      <c r="R1" s="53"/>
      <c r="S1" s="53"/>
      <c r="T1" s="53"/>
      <c r="U1" s="53"/>
      <c r="V1" s="53"/>
      <c r="W1" s="53"/>
      <c r="X1" s="53"/>
    </row>
    <row r="2" spans="1:24">
      <c r="A2" s="53"/>
      <c r="B2" s="53"/>
      <c r="C2" s="53"/>
      <c r="D2" s="53"/>
      <c r="E2" s="53"/>
      <c r="F2" s="53"/>
      <c r="G2" s="53"/>
      <c r="H2" s="53"/>
      <c r="I2" s="53"/>
      <c r="J2" s="53"/>
      <c r="K2" s="53"/>
      <c r="L2" s="53"/>
      <c r="M2" s="53"/>
      <c r="N2" s="53"/>
      <c r="O2" s="53"/>
      <c r="P2" s="53"/>
      <c r="Q2" s="53"/>
      <c r="R2" s="53"/>
      <c r="S2" s="53"/>
      <c r="T2" s="53"/>
      <c r="U2" s="53"/>
      <c r="V2" s="53"/>
      <c r="W2" s="53"/>
      <c r="X2" s="53"/>
    </row>
    <row r="3" spans="1:24">
      <c r="A3" s="53"/>
      <c r="B3" s="53"/>
      <c r="C3" s="53"/>
      <c r="D3" s="53"/>
      <c r="E3" s="53"/>
      <c r="F3" s="53"/>
      <c r="G3" s="53"/>
      <c r="H3" s="53"/>
      <c r="I3" s="53"/>
      <c r="J3" s="53"/>
      <c r="K3" s="53"/>
      <c r="L3" s="53"/>
      <c r="M3" s="53"/>
      <c r="N3" s="53"/>
      <c r="O3" s="53"/>
      <c r="P3" s="53"/>
      <c r="Q3" s="53"/>
      <c r="R3" s="53"/>
      <c r="S3" s="53"/>
      <c r="T3" s="53"/>
      <c r="U3" s="53"/>
      <c r="V3" s="53"/>
      <c r="W3" s="53"/>
      <c r="X3" s="53"/>
    </row>
    <row r="4" spans="1:24">
      <c r="A4" s="53"/>
      <c r="B4" s="53"/>
      <c r="C4" s="53"/>
      <c r="D4" s="53"/>
      <c r="E4" s="53"/>
      <c r="F4" s="53"/>
      <c r="G4" s="53"/>
      <c r="H4" s="53"/>
      <c r="I4" s="53"/>
      <c r="J4" s="53"/>
      <c r="K4" s="53"/>
      <c r="L4" s="53"/>
      <c r="M4" s="53"/>
      <c r="N4" s="53"/>
      <c r="O4" s="53"/>
      <c r="P4" s="53"/>
      <c r="Q4" s="53"/>
      <c r="R4" s="53"/>
      <c r="S4" s="53"/>
      <c r="T4" s="53"/>
      <c r="U4" s="53"/>
      <c r="V4" s="53"/>
      <c r="W4" s="53"/>
      <c r="X4" s="53"/>
    </row>
    <row r="5" spans="1:24">
      <c r="A5" s="53"/>
      <c r="B5" s="53"/>
      <c r="C5" s="53"/>
      <c r="D5" s="53"/>
      <c r="E5" s="53"/>
      <c r="F5" s="53"/>
      <c r="G5" s="53"/>
      <c r="H5" s="53"/>
      <c r="I5" s="53"/>
      <c r="J5" s="53"/>
      <c r="K5" s="53"/>
      <c r="L5" s="53"/>
      <c r="M5" s="53"/>
      <c r="N5" s="53"/>
      <c r="O5" s="53"/>
      <c r="P5" s="53"/>
      <c r="Q5" s="53"/>
      <c r="R5" s="53"/>
      <c r="S5" s="53"/>
      <c r="T5" s="53"/>
      <c r="U5" s="53"/>
      <c r="V5" s="53"/>
      <c r="W5" s="53"/>
      <c r="X5" s="53"/>
    </row>
    <row r="6" spans="1:24">
      <c r="A6" s="53"/>
      <c r="B6" s="53"/>
      <c r="C6" s="53"/>
      <c r="D6" s="53"/>
      <c r="E6" s="53"/>
      <c r="F6" s="53"/>
      <c r="G6" s="53"/>
      <c r="H6" s="53"/>
      <c r="I6" s="53"/>
      <c r="J6" s="53"/>
      <c r="K6" s="53"/>
      <c r="L6" s="53"/>
      <c r="M6" s="53"/>
      <c r="N6" s="53"/>
      <c r="O6" s="53"/>
      <c r="P6" s="53"/>
      <c r="Q6" s="53"/>
      <c r="R6" s="53"/>
      <c r="S6" s="53"/>
      <c r="T6" s="53"/>
      <c r="U6" s="53"/>
      <c r="V6" s="53"/>
      <c r="W6" s="53"/>
      <c r="X6" s="53"/>
    </row>
    <row r="7" spans="1:24">
      <c r="A7" s="53"/>
      <c r="B7" s="53"/>
      <c r="C7" s="53"/>
      <c r="D7" s="53"/>
      <c r="E7" s="53"/>
      <c r="F7" s="53"/>
      <c r="G7" s="53"/>
      <c r="H7" s="53"/>
      <c r="I7" s="53"/>
      <c r="J7" s="53"/>
      <c r="K7" s="53"/>
      <c r="L7" s="53"/>
      <c r="M7" s="53"/>
      <c r="N7" s="53"/>
      <c r="O7" s="53"/>
      <c r="P7" s="53"/>
      <c r="Q7" s="53"/>
      <c r="R7" s="53"/>
      <c r="S7" s="53"/>
      <c r="T7" s="53"/>
      <c r="U7" s="53"/>
      <c r="V7" s="53"/>
      <c r="W7" s="53"/>
      <c r="X7" s="53"/>
    </row>
    <row r="8" spans="1:24">
      <c r="A8" s="53"/>
      <c r="B8" s="53"/>
      <c r="C8" s="53"/>
      <c r="D8" s="53"/>
      <c r="E8" s="53"/>
      <c r="F8" s="53"/>
      <c r="G8" s="53"/>
      <c r="H8" s="53"/>
      <c r="I8" s="53"/>
      <c r="J8" s="53"/>
      <c r="K8" s="53"/>
      <c r="L8" s="53"/>
      <c r="M8" s="53"/>
      <c r="N8" s="53"/>
      <c r="O8" s="53"/>
      <c r="P8" s="53"/>
      <c r="Q8" s="53"/>
      <c r="R8" s="53"/>
      <c r="S8" s="53"/>
      <c r="T8" s="53"/>
      <c r="U8" s="53"/>
      <c r="V8" s="53"/>
      <c r="W8" s="53"/>
      <c r="X8" s="53"/>
    </row>
    <row r="9" spans="1:24">
      <c r="A9" s="53"/>
      <c r="B9" s="53"/>
      <c r="C9" s="53"/>
      <c r="D9" s="53"/>
      <c r="E9" s="53"/>
      <c r="F9" s="53"/>
      <c r="G9" s="53"/>
      <c r="H9" s="53"/>
      <c r="I9" s="53"/>
      <c r="J9" s="53"/>
      <c r="K9" s="53"/>
      <c r="L9" s="53"/>
      <c r="M9" s="53"/>
      <c r="N9" s="53"/>
      <c r="O9" s="53"/>
      <c r="P9" s="53"/>
      <c r="Q9" s="53"/>
      <c r="R9" s="53"/>
      <c r="S9" s="53"/>
      <c r="T9" s="53"/>
      <c r="U9" s="53"/>
      <c r="V9" s="53"/>
      <c r="W9" s="53"/>
      <c r="X9" s="53"/>
    </row>
    <row r="10" spans="1:24">
      <c r="A10" s="53"/>
      <c r="B10" s="53"/>
      <c r="C10" s="53"/>
      <c r="D10" s="53"/>
      <c r="E10" s="53"/>
      <c r="F10" s="53"/>
      <c r="G10" s="53"/>
      <c r="H10" s="53"/>
      <c r="I10" s="53"/>
      <c r="J10" s="53"/>
      <c r="K10" s="53"/>
      <c r="L10" s="53"/>
      <c r="M10" s="53"/>
      <c r="N10" s="53"/>
      <c r="O10" s="53"/>
      <c r="P10" s="53"/>
      <c r="Q10" s="53"/>
      <c r="R10" s="53"/>
      <c r="S10" s="53"/>
      <c r="T10" s="53"/>
      <c r="U10" s="53"/>
      <c r="V10" s="53"/>
      <c r="W10" s="53"/>
      <c r="X10" s="53"/>
    </row>
    <row r="11" spans="1:24">
      <c r="A11" s="53"/>
      <c r="B11" s="53"/>
      <c r="C11" s="53"/>
      <c r="D11" s="53"/>
      <c r="E11" s="53"/>
      <c r="F11" s="53"/>
      <c r="G11" s="53"/>
      <c r="H11" s="53"/>
      <c r="I11" s="53"/>
      <c r="J11" s="53"/>
      <c r="K11" s="53"/>
      <c r="L11" s="53"/>
      <c r="M11" s="53"/>
      <c r="N11" s="53"/>
      <c r="O11" s="53"/>
      <c r="P11" s="53"/>
      <c r="Q11" s="53"/>
      <c r="R11" s="53"/>
      <c r="S11" s="53"/>
      <c r="T11" s="53"/>
      <c r="U11" s="53"/>
      <c r="V11" s="53"/>
      <c r="W11" s="53"/>
      <c r="X11" s="53"/>
    </row>
    <row r="12" spans="1:24">
      <c r="A12" s="53"/>
      <c r="B12" s="53"/>
      <c r="C12" s="53"/>
      <c r="D12" s="53"/>
      <c r="E12" s="53"/>
      <c r="F12" s="53"/>
      <c r="G12" s="53"/>
      <c r="H12" s="53"/>
      <c r="I12" s="53"/>
      <c r="J12" s="53"/>
      <c r="K12" s="53"/>
      <c r="L12" s="53"/>
      <c r="M12" s="53"/>
      <c r="N12" s="53"/>
      <c r="O12" s="53"/>
      <c r="P12" s="53"/>
      <c r="Q12" s="53"/>
      <c r="R12" s="53"/>
      <c r="S12" s="53"/>
      <c r="T12" s="53"/>
      <c r="U12" s="53"/>
      <c r="V12" s="53"/>
      <c r="W12" s="53"/>
      <c r="X12" s="53"/>
    </row>
    <row r="13" spans="1:24">
      <c r="A13" s="53"/>
      <c r="B13" s="107"/>
      <c r="C13" s="108"/>
      <c r="D13" s="108"/>
      <c r="E13" s="108"/>
      <c r="F13" s="108"/>
      <c r="G13" s="108"/>
      <c r="H13" s="108"/>
      <c r="I13" s="108"/>
      <c r="J13" s="108"/>
      <c r="K13" s="108"/>
      <c r="L13" s="108"/>
      <c r="M13" s="108"/>
      <c r="N13" s="144"/>
      <c r="O13" s="48"/>
      <c r="P13" s="53"/>
      <c r="Q13" s="53"/>
      <c r="R13" s="53"/>
      <c r="S13" s="53"/>
      <c r="T13" s="53"/>
      <c r="U13" s="53"/>
      <c r="V13" s="53"/>
      <c r="W13" s="53"/>
      <c r="X13" s="53"/>
    </row>
    <row r="14" spans="1:24" ht="15">
      <c r="A14" s="53"/>
      <c r="B14" s="110"/>
      <c r="C14" s="49" t="s">
        <v>202</v>
      </c>
      <c r="D14" s="602" t="str">
        <f>Consumos!D15</f>
        <v>HOUSING</v>
      </c>
      <c r="E14" s="602"/>
      <c r="F14" s="602"/>
      <c r="G14" s="78"/>
      <c r="H14" s="63"/>
      <c r="I14" s="49" t="s">
        <v>204</v>
      </c>
      <c r="J14" s="602" t="str">
        <f>Consumos!H15</f>
        <v>POLAND</v>
      </c>
      <c r="K14" s="602"/>
      <c r="L14" s="602"/>
      <c r="M14" s="53"/>
      <c r="N14" s="145"/>
      <c r="O14" s="48"/>
      <c r="P14" s="53"/>
      <c r="Q14" s="53"/>
      <c r="R14" s="53"/>
      <c r="S14" s="53"/>
      <c r="T14" s="53"/>
      <c r="U14" s="53"/>
      <c r="V14" s="53"/>
      <c r="W14" s="53"/>
      <c r="X14" s="53"/>
    </row>
    <row r="15" spans="1:24">
      <c r="A15" s="53"/>
      <c r="B15" s="110"/>
      <c r="C15" s="50"/>
      <c r="D15" s="50"/>
      <c r="E15" s="50"/>
      <c r="F15" s="50"/>
      <c r="G15" s="50"/>
      <c r="H15" s="50"/>
      <c r="I15" s="50"/>
      <c r="J15" s="50"/>
      <c r="K15" s="50"/>
      <c r="L15" s="50"/>
      <c r="M15" s="50"/>
      <c r="N15" s="111"/>
      <c r="O15" s="48"/>
      <c r="P15" s="53"/>
      <c r="Q15" s="53"/>
      <c r="R15" s="53"/>
      <c r="S15" s="53"/>
      <c r="T15" s="53"/>
      <c r="U15" s="53"/>
      <c r="V15" s="53"/>
      <c r="W15" s="53"/>
      <c r="X15" s="53"/>
    </row>
    <row r="16" spans="1:24" ht="15">
      <c r="A16" s="53"/>
      <c r="B16" s="110"/>
      <c r="C16" s="49" t="s">
        <v>203</v>
      </c>
      <c r="D16" s="602" t="str">
        <f>Consumos!D17</f>
        <v>VIPSKILLS</v>
      </c>
      <c r="E16" s="602"/>
      <c r="F16" s="602"/>
      <c r="G16" s="53"/>
      <c r="H16" s="63"/>
      <c r="I16" s="49" t="s">
        <v>205</v>
      </c>
      <c r="J16" s="603">
        <f>Consumos!H17</f>
        <v>43285</v>
      </c>
      <c r="K16" s="603"/>
      <c r="L16" s="603"/>
      <c r="M16" s="53"/>
      <c r="N16" s="145"/>
      <c r="O16" s="48"/>
      <c r="P16" s="53"/>
      <c r="Q16" s="53"/>
      <c r="R16" s="53"/>
      <c r="S16" s="53"/>
      <c r="T16" s="53"/>
      <c r="U16" s="53"/>
      <c r="V16" s="53"/>
      <c r="W16" s="53"/>
      <c r="X16" s="53"/>
    </row>
    <row r="17" spans="1:24" ht="15">
      <c r="A17" s="53"/>
      <c r="B17" s="110"/>
      <c r="C17" s="49"/>
      <c r="D17" s="103"/>
      <c r="E17" s="103"/>
      <c r="F17" s="103"/>
      <c r="G17" s="53"/>
      <c r="H17" s="63"/>
      <c r="I17" s="49"/>
      <c r="J17" s="121"/>
      <c r="K17" s="121"/>
      <c r="L17" s="121"/>
      <c r="M17" s="53"/>
      <c r="N17" s="145"/>
      <c r="O17" s="48"/>
      <c r="P17" s="53"/>
      <c r="Q17" s="53"/>
      <c r="R17" s="53"/>
      <c r="S17" s="53"/>
      <c r="T17" s="53"/>
      <c r="U17" s="53"/>
      <c r="V17" s="53"/>
      <c r="W17" s="53"/>
      <c r="X17" s="53"/>
    </row>
    <row r="18" spans="1:24" ht="20.25">
      <c r="A18" s="53"/>
      <c r="B18" s="110"/>
      <c r="C18" s="605" t="s">
        <v>368</v>
      </c>
      <c r="D18" s="605"/>
      <c r="E18" s="605"/>
      <c r="F18" s="605"/>
      <c r="G18" s="605"/>
      <c r="H18" s="605"/>
      <c r="I18" s="605"/>
      <c r="J18" s="605"/>
      <c r="K18" s="605"/>
      <c r="L18" s="605"/>
      <c r="M18" s="50"/>
      <c r="N18" s="111"/>
      <c r="O18" s="48"/>
      <c r="P18" s="53"/>
      <c r="Q18" s="53"/>
      <c r="R18" s="53"/>
      <c r="S18" s="53"/>
      <c r="T18" s="53"/>
      <c r="U18" s="53"/>
      <c r="V18" s="53"/>
      <c r="W18" s="53"/>
      <c r="X18" s="53"/>
    </row>
    <row r="19" spans="1:24" ht="13.5" thickBot="1">
      <c r="A19" s="53"/>
      <c r="B19" s="110"/>
      <c r="C19" s="50"/>
      <c r="D19" s="50"/>
      <c r="E19" s="50"/>
      <c r="F19" s="50"/>
      <c r="G19" s="50"/>
      <c r="H19" s="50"/>
      <c r="I19" s="50"/>
      <c r="J19" s="50"/>
      <c r="K19" s="50"/>
      <c r="L19" s="50"/>
      <c r="M19" s="50"/>
      <c r="N19" s="111"/>
      <c r="O19" s="48"/>
      <c r="P19" s="53"/>
      <c r="Q19" s="53"/>
      <c r="R19" s="53"/>
      <c r="S19" s="53"/>
      <c r="T19" s="53"/>
      <c r="U19" s="53"/>
      <c r="V19" s="53"/>
      <c r="W19" s="53"/>
      <c r="X19" s="53"/>
    </row>
    <row r="20" spans="1:24" ht="19.5" thickBot="1">
      <c r="A20" s="53"/>
      <c r="B20" s="110"/>
      <c r="C20" s="599" t="s">
        <v>369</v>
      </c>
      <c r="D20" s="600"/>
      <c r="E20" s="600"/>
      <c r="F20" s="600"/>
      <c r="G20" s="600"/>
      <c r="H20" s="600"/>
      <c r="I20" s="600"/>
      <c r="J20" s="601"/>
      <c r="K20" s="59"/>
      <c r="L20" s="485"/>
      <c r="M20" s="485"/>
      <c r="N20" s="146"/>
      <c r="O20" s="48"/>
      <c r="P20" s="53"/>
      <c r="Q20" s="554">
        <f>'Regulador de carga'!G38</f>
        <v>1</v>
      </c>
      <c r="R20" s="53"/>
      <c r="S20" s="53"/>
      <c r="T20" s="53"/>
      <c r="U20" s="53"/>
      <c r="V20" s="53"/>
      <c r="W20" s="53"/>
      <c r="X20" s="53"/>
    </row>
    <row r="21" spans="1:24" ht="51.75" thickBot="1">
      <c r="A21" s="53"/>
      <c r="B21" s="110"/>
      <c r="C21" s="68" t="s">
        <v>370</v>
      </c>
      <c r="D21" s="73" t="s">
        <v>371</v>
      </c>
      <c r="E21" s="70" t="s">
        <v>372</v>
      </c>
      <c r="F21" s="74"/>
      <c r="G21" s="75" t="s">
        <v>178</v>
      </c>
      <c r="H21" s="76" t="s">
        <v>373</v>
      </c>
      <c r="I21" s="77" t="s">
        <v>374</v>
      </c>
      <c r="J21" s="69" t="s">
        <v>375</v>
      </c>
      <c r="K21" s="50"/>
      <c r="L21" s="122"/>
      <c r="M21" s="80"/>
      <c r="N21" s="111"/>
      <c r="O21" s="48"/>
      <c r="P21" s="53"/>
      <c r="Q21" s="53"/>
      <c r="R21" s="53"/>
      <c r="S21" s="53"/>
      <c r="T21" s="53"/>
      <c r="U21" s="53"/>
      <c r="V21" s="53"/>
      <c r="W21" s="53"/>
      <c r="X21" s="53"/>
    </row>
    <row r="22" spans="1:24" ht="15.75">
      <c r="A22" s="53"/>
      <c r="B22" s="110"/>
      <c r="C22" s="504">
        <f>'Regulador de carga'!D38/'Regulador de carga'!G38</f>
        <v>5.01</v>
      </c>
      <c r="D22" s="504">
        <f>C22*1.25</f>
        <v>6.2624999999999993</v>
      </c>
      <c r="E22" s="503">
        <f>PV!H34</f>
        <v>21.7</v>
      </c>
      <c r="F22" s="104" t="s">
        <v>376</v>
      </c>
      <c r="G22" s="71">
        <f>D22*1.25</f>
        <v>7.8281249999999991</v>
      </c>
      <c r="H22" s="71">
        <f>G22</f>
        <v>7.8281249999999991</v>
      </c>
      <c r="I22" s="217"/>
      <c r="J22" s="217"/>
      <c r="K22" s="50"/>
      <c r="L22" s="79"/>
      <c r="M22" s="80"/>
      <c r="N22" s="111"/>
      <c r="O22" s="48"/>
      <c r="P22" s="53"/>
      <c r="Q22" s="53"/>
      <c r="R22" s="53"/>
      <c r="S22" s="53"/>
      <c r="T22" s="53"/>
      <c r="U22" s="53"/>
      <c r="V22" s="53"/>
      <c r="W22" s="53"/>
      <c r="X22" s="53"/>
    </row>
    <row r="23" spans="1:24" ht="15.75">
      <c r="A23" s="53"/>
      <c r="B23" s="110"/>
      <c r="C23" s="503"/>
      <c r="D23" s="503"/>
      <c r="E23" s="503"/>
      <c r="F23" s="104" t="s">
        <v>377</v>
      </c>
      <c r="G23" s="60">
        <f>E22</f>
        <v>21.7</v>
      </c>
      <c r="H23" s="60">
        <f>G23</f>
        <v>21.7</v>
      </c>
      <c r="I23" s="218"/>
      <c r="J23" s="218"/>
      <c r="K23" s="50"/>
      <c r="L23" s="79"/>
      <c r="M23" s="80"/>
      <c r="N23" s="111"/>
      <c r="O23" s="48"/>
      <c r="P23" s="53"/>
      <c r="Q23" s="53"/>
      <c r="R23" s="53"/>
      <c r="S23" s="53"/>
      <c r="T23" s="53"/>
      <c r="U23" s="53"/>
      <c r="V23" s="53"/>
      <c r="W23" s="53"/>
      <c r="X23" s="53"/>
    </row>
    <row r="24" spans="1:24" ht="15.75" thickBot="1">
      <c r="A24" s="53"/>
      <c r="B24" s="110"/>
      <c r="C24" s="505"/>
      <c r="D24" s="505"/>
      <c r="E24" s="503"/>
      <c r="F24" s="72" t="s">
        <v>287</v>
      </c>
      <c r="G24" s="218"/>
      <c r="H24" s="218"/>
      <c r="I24" s="218"/>
      <c r="J24" s="218"/>
      <c r="K24" s="50"/>
      <c r="L24" s="79"/>
      <c r="M24" s="80"/>
      <c r="N24" s="111"/>
      <c r="O24" s="48"/>
      <c r="P24" s="53"/>
      <c r="Q24" s="53"/>
      <c r="R24" s="53"/>
      <c r="S24" s="53"/>
      <c r="T24" s="53"/>
      <c r="U24" s="53"/>
      <c r="V24" s="53"/>
      <c r="W24" s="53"/>
      <c r="X24" s="53"/>
    </row>
    <row r="25" spans="1:24" ht="19.5" thickBot="1">
      <c r="A25" s="53"/>
      <c r="B25" s="110"/>
      <c r="C25" s="599" t="s">
        <v>378</v>
      </c>
      <c r="D25" s="600"/>
      <c r="E25" s="600"/>
      <c r="F25" s="600"/>
      <c r="G25" s="600"/>
      <c r="H25" s="600"/>
      <c r="I25" s="600"/>
      <c r="J25" s="601"/>
      <c r="K25" s="59"/>
      <c r="L25" s="485"/>
      <c r="M25" s="485"/>
      <c r="N25" s="111"/>
      <c r="O25" s="48"/>
      <c r="P25" s="53"/>
      <c r="Q25" s="53"/>
      <c r="R25" s="53"/>
      <c r="S25" s="53"/>
      <c r="T25" s="53"/>
      <c r="U25" s="53"/>
      <c r="V25" s="53"/>
      <c r="W25" s="53"/>
      <c r="X25" s="53"/>
    </row>
    <row r="26" spans="1:24" ht="26.25" thickBot="1">
      <c r="A26" s="53"/>
      <c r="B26" s="110"/>
      <c r="C26" s="68" t="s">
        <v>379</v>
      </c>
      <c r="D26" s="73" t="s">
        <v>380</v>
      </c>
      <c r="E26" s="70" t="s">
        <v>381</v>
      </c>
      <c r="F26" s="74"/>
      <c r="G26" s="75" t="s">
        <v>178</v>
      </c>
      <c r="H26" s="76" t="s">
        <v>373</v>
      </c>
      <c r="I26" s="77" t="s">
        <v>374</v>
      </c>
      <c r="J26" s="69" t="s">
        <v>375</v>
      </c>
      <c r="K26" s="50"/>
      <c r="L26" s="123"/>
      <c r="M26" s="80"/>
      <c r="N26" s="111"/>
      <c r="O26" s="48"/>
      <c r="P26" s="53"/>
      <c r="Q26" s="53"/>
      <c r="R26" s="53"/>
      <c r="S26" s="53"/>
      <c r="T26" s="53"/>
      <c r="U26" s="53"/>
      <c r="V26" s="53"/>
      <c r="W26" s="53"/>
      <c r="X26" s="53"/>
    </row>
    <row r="27" spans="1:24" ht="15.75">
      <c r="A27" s="53"/>
      <c r="B27" s="110"/>
      <c r="C27" s="504">
        <f>IF('Ángulo de Inclinación'!O24=2,'Ángulo de Inclinación'!#REF!,IF(Consumos!D46=0,0,(Consumos!D46/Consumos!F46)/'Regulador de carga'!G38))</f>
        <v>1.1544654545454545</v>
      </c>
      <c r="D27" s="504">
        <f>C27*1.25</f>
        <v>1.4430818181818181</v>
      </c>
      <c r="E27" s="506">
        <f>IF('Ángulo de Inclinación'!$O$24=2,'Ángulo de Inclinación'!#REF!,Consumos!$F$46)</f>
        <v>220</v>
      </c>
      <c r="F27" s="471" t="s">
        <v>376</v>
      </c>
      <c r="G27" s="71">
        <f>D27*1.25</f>
        <v>1.8038522727272728</v>
      </c>
      <c r="H27" s="71">
        <f>G27</f>
        <v>1.8038522727272728</v>
      </c>
      <c r="I27" s="217"/>
      <c r="J27" s="217"/>
      <c r="K27" s="50"/>
      <c r="L27" s="79"/>
      <c r="M27" s="80"/>
      <c r="N27" s="111"/>
      <c r="O27" s="48"/>
      <c r="P27" s="53"/>
      <c r="Q27" s="53"/>
      <c r="R27" s="53"/>
      <c r="S27" s="53"/>
      <c r="T27" s="53"/>
      <c r="U27" s="53"/>
      <c r="V27" s="53"/>
      <c r="W27" s="53"/>
      <c r="X27" s="53"/>
    </row>
    <row r="28" spans="1:24" ht="15.75">
      <c r="A28" s="53"/>
      <c r="B28" s="110"/>
      <c r="C28" s="503"/>
      <c r="D28" s="503"/>
      <c r="E28" s="506">
        <f>IF('Ángulo de Inclinación'!$O$24=2,'Ángulo de Inclinación'!#REF!,Consumos!$F$46)</f>
        <v>220</v>
      </c>
      <c r="F28" s="471" t="s">
        <v>377</v>
      </c>
      <c r="G28" s="60">
        <f>E27</f>
        <v>220</v>
      </c>
      <c r="H28" s="60">
        <f>G28</f>
        <v>220</v>
      </c>
      <c r="I28" s="218"/>
      <c r="J28" s="218"/>
      <c r="K28" s="50"/>
      <c r="L28" s="79"/>
      <c r="M28" s="80"/>
      <c r="N28" s="111"/>
      <c r="O28" s="48"/>
      <c r="P28" s="53"/>
      <c r="Q28" s="53"/>
      <c r="R28" s="53"/>
      <c r="S28" s="53"/>
      <c r="T28" s="53"/>
      <c r="U28" s="53"/>
      <c r="V28" s="53"/>
      <c r="W28" s="53"/>
      <c r="X28" s="53"/>
    </row>
    <row r="29" spans="1:24" ht="15.75" thickBot="1">
      <c r="A29" s="53"/>
      <c r="B29" s="110"/>
      <c r="C29" s="505"/>
      <c r="D29" s="505"/>
      <c r="E29" s="506">
        <f>IF('Ángulo de Inclinación'!$O$24=2,'Ángulo de Inclinación'!#REF!,Consumos!$F$46)</f>
        <v>220</v>
      </c>
      <c r="F29" s="72" t="s">
        <v>287</v>
      </c>
      <c r="G29" s="218"/>
      <c r="H29" s="218"/>
      <c r="I29" s="218"/>
      <c r="J29" s="218"/>
      <c r="K29" s="50"/>
      <c r="L29" s="79"/>
      <c r="M29" s="80"/>
      <c r="N29" s="111"/>
      <c r="O29" s="48"/>
      <c r="P29" s="53"/>
      <c r="Q29" s="53"/>
      <c r="R29" s="53"/>
      <c r="S29" s="53"/>
      <c r="T29" s="53"/>
      <c r="U29" s="53"/>
      <c r="V29" s="53"/>
      <c r="W29" s="53"/>
      <c r="X29" s="53"/>
    </row>
    <row r="30" spans="1:24" ht="19.5" thickBot="1">
      <c r="A30" s="53"/>
      <c r="B30" s="110"/>
      <c r="C30" s="599" t="s">
        <v>382</v>
      </c>
      <c r="D30" s="600"/>
      <c r="E30" s="600"/>
      <c r="F30" s="600"/>
      <c r="G30" s="600"/>
      <c r="H30" s="600"/>
      <c r="I30" s="600"/>
      <c r="J30" s="601"/>
      <c r="K30" s="59"/>
      <c r="L30" s="485"/>
      <c r="M30" s="485"/>
      <c r="N30" s="111"/>
      <c r="O30" s="48"/>
      <c r="P30" s="53"/>
      <c r="Q30" s="53"/>
      <c r="R30" s="53"/>
      <c r="S30" s="53"/>
      <c r="T30" s="53"/>
      <c r="U30" s="53"/>
      <c r="V30" s="53"/>
      <c r="W30" s="53"/>
      <c r="X30" s="53"/>
    </row>
    <row r="31" spans="1:24" ht="39" thickBot="1">
      <c r="A31" s="53"/>
      <c r="B31" s="110"/>
      <c r="C31" s="68" t="s">
        <v>383</v>
      </c>
      <c r="D31" s="73" t="s">
        <v>384</v>
      </c>
      <c r="E31" s="70" t="s">
        <v>381</v>
      </c>
      <c r="F31" s="74"/>
      <c r="G31" s="75" t="s">
        <v>178</v>
      </c>
      <c r="H31" s="76" t="s">
        <v>373</v>
      </c>
      <c r="I31" s="77" t="s">
        <v>374</v>
      </c>
      <c r="J31" s="69" t="s">
        <v>375</v>
      </c>
      <c r="K31" s="50"/>
      <c r="L31" s="123"/>
      <c r="M31" s="80"/>
      <c r="N31" s="111"/>
      <c r="O31" s="48"/>
      <c r="P31" s="53"/>
      <c r="Q31" s="53"/>
      <c r="R31" s="53"/>
      <c r="S31" s="53"/>
      <c r="T31" s="53"/>
      <c r="U31" s="53"/>
      <c r="V31" s="53"/>
      <c r="W31" s="53"/>
      <c r="X31" s="53"/>
    </row>
    <row r="32" spans="1:24" ht="15.75">
      <c r="A32" s="53"/>
      <c r="B32" s="110"/>
      <c r="C32" s="504">
        <f>IF('Ángulo de Inclinación'!O24=2,'Ángulo de Inclinación'!#REF!,IF('Adaptador de potencia'!H28=0,0,('Adaptador de potencia'!H28)))</f>
        <v>4250</v>
      </c>
      <c r="D32" s="504">
        <f>IF('Adaptador de potencia'!D30=0,0,'Adaptador de potencia'!D30)</f>
        <v>0.9</v>
      </c>
      <c r="E32" s="506">
        <f>IF(Consumos!K24=0,0,'Adaptador de potencia'!H26)</f>
        <v>48</v>
      </c>
      <c r="F32" s="104" t="s">
        <v>385</v>
      </c>
      <c r="G32" s="71">
        <f>IF(E32=0,0,C32/(D32*E32))*1.25</f>
        <v>122.97453703703702</v>
      </c>
      <c r="H32" s="71">
        <f>G32</f>
        <v>122.97453703703702</v>
      </c>
      <c r="I32" s="218"/>
      <c r="J32" s="218"/>
      <c r="K32" s="50"/>
      <c r="L32" s="79"/>
      <c r="M32" s="124"/>
      <c r="N32" s="111"/>
      <c r="O32" s="48"/>
      <c r="P32" s="53"/>
      <c r="Q32" s="53"/>
      <c r="R32" s="53"/>
      <c r="S32" s="53"/>
      <c r="T32" s="53"/>
      <c r="U32" s="53"/>
      <c r="V32" s="53"/>
      <c r="W32" s="53"/>
      <c r="X32" s="53"/>
    </row>
    <row r="33" spans="1:24" ht="15.75">
      <c r="A33" s="53"/>
      <c r="B33" s="110"/>
      <c r="C33" s="503"/>
      <c r="D33" s="503"/>
      <c r="E33" s="506"/>
      <c r="F33" s="104" t="s">
        <v>233</v>
      </c>
      <c r="G33" s="60">
        <f>E32</f>
        <v>48</v>
      </c>
      <c r="H33" s="60">
        <f>G33</f>
        <v>48</v>
      </c>
      <c r="I33" s="218"/>
      <c r="J33" s="218"/>
      <c r="K33" s="50"/>
      <c r="L33" s="79"/>
      <c r="M33" s="124"/>
      <c r="N33" s="111"/>
      <c r="O33" s="48"/>
      <c r="P33" s="53"/>
      <c r="Q33" s="53"/>
      <c r="R33" s="53"/>
      <c r="S33" s="53"/>
      <c r="T33" s="53"/>
      <c r="U33" s="53"/>
      <c r="V33" s="53"/>
      <c r="W33" s="53"/>
      <c r="X33" s="53"/>
    </row>
    <row r="34" spans="1:24" ht="15.75" thickBot="1">
      <c r="A34" s="53"/>
      <c r="B34" s="110"/>
      <c r="C34" s="505"/>
      <c r="D34" s="505"/>
      <c r="E34" s="506"/>
      <c r="F34" s="72" t="s">
        <v>287</v>
      </c>
      <c r="G34" s="218"/>
      <c r="H34" s="218"/>
      <c r="I34" s="218"/>
      <c r="J34" s="218"/>
      <c r="K34" s="50"/>
      <c r="L34" s="79"/>
      <c r="M34" s="80"/>
      <c r="N34" s="111"/>
      <c r="O34" s="48"/>
      <c r="P34" s="53"/>
      <c r="Q34" s="53"/>
      <c r="R34" s="53"/>
      <c r="S34" s="53"/>
      <c r="T34" s="53"/>
      <c r="U34" s="53"/>
      <c r="V34" s="53"/>
      <c r="W34" s="53"/>
      <c r="X34" s="53"/>
    </row>
    <row r="35" spans="1:24" ht="19.5" thickBot="1">
      <c r="A35" s="53"/>
      <c r="B35" s="110"/>
      <c r="C35" s="599" t="s">
        <v>386</v>
      </c>
      <c r="D35" s="600"/>
      <c r="E35" s="600"/>
      <c r="F35" s="600"/>
      <c r="G35" s="600"/>
      <c r="H35" s="600"/>
      <c r="I35" s="600"/>
      <c r="J35" s="601"/>
      <c r="K35" s="59"/>
      <c r="L35" s="485"/>
      <c r="M35" s="485"/>
      <c r="N35" s="111"/>
      <c r="O35" s="48"/>
      <c r="P35" s="53"/>
      <c r="Q35" s="53"/>
      <c r="R35" s="53"/>
      <c r="S35" s="53"/>
      <c r="T35" s="53"/>
      <c r="U35" s="53"/>
      <c r="V35" s="53"/>
      <c r="W35" s="53"/>
      <c r="X35" s="53"/>
    </row>
    <row r="36" spans="1:24" ht="39" thickBot="1">
      <c r="A36" s="53"/>
      <c r="B36" s="110"/>
      <c r="C36" s="68" t="s">
        <v>160</v>
      </c>
      <c r="D36" s="73" t="s">
        <v>56</v>
      </c>
      <c r="E36" s="70" t="s">
        <v>57</v>
      </c>
      <c r="F36" s="74"/>
      <c r="G36" s="75" t="s">
        <v>387</v>
      </c>
      <c r="H36" s="136" t="s">
        <v>388</v>
      </c>
      <c r="I36" s="77" t="s">
        <v>389</v>
      </c>
      <c r="J36" s="137" t="s">
        <v>390</v>
      </c>
      <c r="K36" s="50"/>
      <c r="L36" s="122"/>
      <c r="M36" s="80"/>
      <c r="N36" s="111"/>
      <c r="O36" s="48"/>
      <c r="P36" s="53"/>
      <c r="Q36" s="53"/>
      <c r="R36" s="53"/>
      <c r="S36" s="53"/>
      <c r="T36" s="53"/>
      <c r="U36" s="53"/>
      <c r="V36" s="53"/>
      <c r="W36" s="53"/>
      <c r="X36" s="53"/>
    </row>
    <row r="37" spans="1:24" ht="15.75">
      <c r="A37" s="53"/>
      <c r="B37" s="110"/>
      <c r="C37" s="504">
        <f>IF('Ángulo de Inclinación'!O24=2,'Ángulo de Inclinación'!#REF!/'Ángulo de Inclinación'!#REF!,IF(OR(Consumos!E46=0,'Adaptador de potencia'!H27=0),"",(Consumos!E46/'Adaptador de potencia'!J30)/'Adaptador de potencia'!H27))</f>
        <v>13.652626086956523</v>
      </c>
      <c r="D37" s="504">
        <f>C37*1.25</f>
        <v>17.065782608695656</v>
      </c>
      <c r="E37" s="506">
        <f>IF('Adaptador de potencia'!H27=0,"",'Adaptador de potencia'!H27)</f>
        <v>230</v>
      </c>
      <c r="F37" s="471" t="s">
        <v>385</v>
      </c>
      <c r="G37" s="71">
        <f>D37*1.25</f>
        <v>21.33222826086957</v>
      </c>
      <c r="H37" s="71">
        <f>G37</f>
        <v>21.33222826086957</v>
      </c>
      <c r="I37" s="218"/>
      <c r="J37" s="218"/>
      <c r="K37" s="50"/>
      <c r="L37" s="79"/>
      <c r="M37" s="80"/>
      <c r="N37" s="111"/>
      <c r="O37" s="48"/>
      <c r="P37" s="53"/>
      <c r="Q37" s="53"/>
      <c r="R37" s="53"/>
      <c r="S37" s="53"/>
      <c r="T37" s="53"/>
      <c r="U37" s="53"/>
      <c r="V37" s="53"/>
      <c r="W37" s="53"/>
      <c r="X37" s="53"/>
    </row>
    <row r="38" spans="1:24" ht="15.75">
      <c r="A38" s="53"/>
      <c r="B38" s="110"/>
      <c r="C38" s="503"/>
      <c r="D38" s="503"/>
      <c r="E38" s="506"/>
      <c r="F38" s="471" t="s">
        <v>233</v>
      </c>
      <c r="G38" s="60">
        <f>E37</f>
        <v>230</v>
      </c>
      <c r="H38" s="60">
        <f>G38</f>
        <v>230</v>
      </c>
      <c r="I38" s="218"/>
      <c r="J38" s="218"/>
      <c r="K38" s="50"/>
      <c r="L38" s="79"/>
      <c r="M38" s="80"/>
      <c r="N38" s="111"/>
      <c r="O38" s="48"/>
      <c r="P38" s="53"/>
      <c r="Q38" s="53"/>
      <c r="R38" s="53"/>
      <c r="S38" s="53"/>
      <c r="T38" s="53"/>
      <c r="U38" s="53"/>
      <c r="V38" s="53"/>
      <c r="W38" s="53"/>
      <c r="X38" s="53"/>
    </row>
    <row r="39" spans="1:24" ht="15.75" thickBot="1">
      <c r="A39" s="53"/>
      <c r="B39" s="110"/>
      <c r="C39" s="505"/>
      <c r="D39" s="505"/>
      <c r="E39" s="506"/>
      <c r="F39" s="72" t="s">
        <v>287</v>
      </c>
      <c r="G39" s="218"/>
      <c r="H39" s="218"/>
      <c r="I39" s="218"/>
      <c r="J39" s="218"/>
      <c r="K39" s="50"/>
      <c r="L39" s="79"/>
      <c r="M39" s="80"/>
      <c r="N39" s="111"/>
      <c r="O39" s="48"/>
      <c r="P39" s="53"/>
      <c r="Q39" s="53"/>
      <c r="R39" s="53"/>
      <c r="S39" s="53"/>
      <c r="T39" s="53"/>
      <c r="U39" s="53"/>
      <c r="V39" s="53"/>
      <c r="W39" s="53"/>
      <c r="X39" s="53"/>
    </row>
    <row r="40" spans="1:24" ht="19.5" thickBot="1">
      <c r="A40" s="53"/>
      <c r="B40" s="110"/>
      <c r="C40" s="599" t="s">
        <v>391</v>
      </c>
      <c r="D40" s="600"/>
      <c r="E40" s="600"/>
      <c r="F40" s="600"/>
      <c r="G40" s="600"/>
      <c r="H40" s="600"/>
      <c r="I40" s="600"/>
      <c r="J40" s="601"/>
      <c r="K40" s="59"/>
      <c r="L40" s="485"/>
      <c r="M40" s="485"/>
      <c r="N40" s="111"/>
      <c r="O40" s="48"/>
      <c r="P40" s="53"/>
      <c r="Q40" s="53"/>
      <c r="R40" s="53"/>
      <c r="S40" s="53"/>
      <c r="T40" s="53"/>
      <c r="U40" s="53"/>
      <c r="V40" s="53"/>
      <c r="W40" s="53"/>
      <c r="X40" s="53"/>
    </row>
    <row r="41" spans="1:24" ht="39" thickBot="1">
      <c r="A41" s="53"/>
      <c r="B41" s="110"/>
      <c r="C41" s="120" t="s">
        <v>392</v>
      </c>
      <c r="D41" s="73" t="s">
        <v>393</v>
      </c>
      <c r="E41" s="120" t="s">
        <v>377</v>
      </c>
      <c r="F41" s="74"/>
      <c r="G41" s="75" t="s">
        <v>178</v>
      </c>
      <c r="H41" s="76" t="s">
        <v>373</v>
      </c>
      <c r="I41" s="77" t="s">
        <v>374</v>
      </c>
      <c r="J41" s="69" t="s">
        <v>375</v>
      </c>
      <c r="K41" s="50"/>
      <c r="L41" s="123"/>
      <c r="M41" s="80"/>
      <c r="N41" s="111"/>
      <c r="O41" s="48"/>
      <c r="P41" s="53"/>
      <c r="Q41" s="53"/>
      <c r="R41" s="53"/>
      <c r="S41" s="53"/>
      <c r="T41" s="53"/>
      <c r="U41" s="53"/>
      <c r="V41" s="53"/>
      <c r="W41" s="53"/>
      <c r="X41" s="53"/>
    </row>
    <row r="42" spans="1:24" ht="15.75">
      <c r="A42" s="53"/>
      <c r="B42" s="110"/>
      <c r="C42" s="511"/>
      <c r="D42" s="512">
        <f>C42*1.25</f>
        <v>0</v>
      </c>
      <c r="E42" s="511"/>
      <c r="F42" s="471" t="s">
        <v>385</v>
      </c>
      <c r="G42" s="71">
        <f>D42*1.25</f>
        <v>0</v>
      </c>
      <c r="H42" s="71">
        <f>G42</f>
        <v>0</v>
      </c>
      <c r="I42" s="218">
        <v>19</v>
      </c>
      <c r="J42" s="218"/>
      <c r="K42" s="50"/>
      <c r="L42" s="79"/>
      <c r="M42" s="80"/>
      <c r="N42" s="111"/>
      <c r="O42" s="48"/>
      <c r="P42" s="53"/>
      <c r="Q42" s="53"/>
      <c r="R42" s="53"/>
      <c r="S42" s="53"/>
      <c r="T42" s="53"/>
      <c r="U42" s="53"/>
      <c r="V42" s="53"/>
      <c r="W42" s="53"/>
      <c r="X42" s="53"/>
    </row>
    <row r="43" spans="1:24" ht="15.75">
      <c r="A43" s="53"/>
      <c r="B43" s="110"/>
      <c r="C43" s="508"/>
      <c r="D43" s="510"/>
      <c r="E43" s="508"/>
      <c r="F43" s="471" t="s">
        <v>233</v>
      </c>
      <c r="G43" s="60">
        <f>E42</f>
        <v>0</v>
      </c>
      <c r="H43" s="60">
        <f>G43</f>
        <v>0</v>
      </c>
      <c r="I43" s="218">
        <v>24</v>
      </c>
      <c r="J43" s="218"/>
      <c r="K43" s="50"/>
      <c r="L43" s="79"/>
      <c r="M43" s="80"/>
      <c r="N43" s="111"/>
      <c r="O43" s="48"/>
      <c r="P43" s="53"/>
      <c r="Q43" s="53"/>
      <c r="R43" s="53"/>
      <c r="S43" s="53"/>
      <c r="T43" s="53"/>
      <c r="U43" s="53"/>
      <c r="V43" s="53"/>
      <c r="W43" s="53"/>
      <c r="X43" s="53"/>
    </row>
    <row r="44" spans="1:24" ht="15">
      <c r="A44" s="53"/>
      <c r="B44" s="110"/>
      <c r="C44" s="509"/>
      <c r="D44" s="510"/>
      <c r="E44" s="509"/>
      <c r="F44" s="72" t="s">
        <v>287</v>
      </c>
      <c r="G44" s="218"/>
      <c r="H44" s="218"/>
      <c r="I44" s="218"/>
      <c r="J44" s="218"/>
      <c r="K44" s="50"/>
      <c r="L44" s="50"/>
      <c r="M44" s="50"/>
      <c r="N44" s="111"/>
      <c r="O44" s="48"/>
      <c r="P44" s="53"/>
      <c r="Q44" s="53"/>
      <c r="R44" s="53"/>
      <c r="S44" s="53"/>
      <c r="T44" s="53"/>
      <c r="U44" s="53"/>
      <c r="V44" s="53"/>
      <c r="W44" s="53"/>
      <c r="X44" s="53"/>
    </row>
    <row r="45" spans="1:24" ht="15.75">
      <c r="A45" s="53"/>
      <c r="B45" s="110"/>
      <c r="C45" s="507"/>
      <c r="D45" s="510">
        <f t="shared" ref="D45" si="0">C45*1.25</f>
        <v>0</v>
      </c>
      <c r="E45" s="507"/>
      <c r="F45" s="471" t="s">
        <v>385</v>
      </c>
      <c r="G45" s="71">
        <f>D45*1.25</f>
        <v>0</v>
      </c>
      <c r="H45" s="71">
        <f>G45</f>
        <v>0</v>
      </c>
      <c r="I45" s="217"/>
      <c r="J45" s="217"/>
      <c r="K45" s="50"/>
      <c r="L45" s="79"/>
      <c r="M45" s="80"/>
      <c r="N45" s="111"/>
      <c r="O45" s="48"/>
      <c r="P45" s="53"/>
      <c r="Q45" s="53"/>
      <c r="R45" s="53"/>
      <c r="S45" s="53"/>
      <c r="T45" s="53"/>
      <c r="U45" s="53"/>
      <c r="V45" s="53"/>
      <c r="W45" s="53"/>
      <c r="X45" s="53"/>
    </row>
    <row r="46" spans="1:24" ht="15.75">
      <c r="A46" s="53"/>
      <c r="B46" s="110"/>
      <c r="C46" s="508"/>
      <c r="D46" s="510"/>
      <c r="E46" s="508"/>
      <c r="F46" s="471" t="s">
        <v>233</v>
      </c>
      <c r="G46" s="60">
        <f>E45</f>
        <v>0</v>
      </c>
      <c r="H46" s="60">
        <f>G46</f>
        <v>0</v>
      </c>
      <c r="I46" s="218"/>
      <c r="J46" s="218"/>
      <c r="K46" s="50"/>
      <c r="L46" s="79"/>
      <c r="M46" s="80"/>
      <c r="N46" s="111"/>
      <c r="O46" s="48"/>
      <c r="P46" s="53"/>
      <c r="Q46" s="53"/>
      <c r="R46" s="53"/>
      <c r="S46" s="53"/>
      <c r="T46" s="53"/>
      <c r="U46" s="53"/>
      <c r="V46" s="53"/>
      <c r="W46" s="53"/>
      <c r="X46" s="53"/>
    </row>
    <row r="47" spans="1:24" ht="15">
      <c r="A47" s="53"/>
      <c r="B47" s="110"/>
      <c r="C47" s="509"/>
      <c r="D47" s="510"/>
      <c r="E47" s="509"/>
      <c r="F47" s="72" t="s">
        <v>287</v>
      </c>
      <c r="G47" s="218"/>
      <c r="H47" s="218"/>
      <c r="I47" s="218"/>
      <c r="J47" s="218"/>
      <c r="K47" s="50"/>
      <c r="L47" s="50"/>
      <c r="M47" s="50"/>
      <c r="N47" s="111"/>
      <c r="O47" s="48"/>
      <c r="P47" s="53"/>
      <c r="Q47" s="53"/>
      <c r="R47" s="53"/>
      <c r="S47" s="53"/>
      <c r="T47" s="53"/>
      <c r="U47" s="53"/>
      <c r="V47" s="53"/>
      <c r="W47" s="53"/>
      <c r="X47" s="53"/>
    </row>
    <row r="48" spans="1:24" ht="15.75">
      <c r="A48" s="53"/>
      <c r="B48" s="110"/>
      <c r="C48" s="507"/>
      <c r="D48" s="510">
        <f t="shared" ref="D48" si="1">C48*1.25</f>
        <v>0</v>
      </c>
      <c r="E48" s="507"/>
      <c r="F48" s="471" t="s">
        <v>385</v>
      </c>
      <c r="G48" s="71">
        <f>D48*1.25</f>
        <v>0</v>
      </c>
      <c r="H48" s="71">
        <f>G48</f>
        <v>0</v>
      </c>
      <c r="I48" s="217"/>
      <c r="J48" s="217"/>
      <c r="K48" s="50"/>
      <c r="L48" s="79"/>
      <c r="M48" s="80"/>
      <c r="N48" s="111"/>
      <c r="O48" s="48"/>
      <c r="P48" s="53"/>
      <c r="Q48" s="53"/>
      <c r="R48" s="53"/>
      <c r="S48" s="53"/>
      <c r="T48" s="53"/>
      <c r="U48" s="53"/>
      <c r="V48" s="53"/>
      <c r="W48" s="53"/>
      <c r="X48" s="53"/>
    </row>
    <row r="49" spans="1:24" ht="15.75">
      <c r="A49" s="53"/>
      <c r="B49" s="110"/>
      <c r="C49" s="508"/>
      <c r="D49" s="510"/>
      <c r="E49" s="508"/>
      <c r="F49" s="471" t="s">
        <v>233</v>
      </c>
      <c r="G49" s="60">
        <f>E48</f>
        <v>0</v>
      </c>
      <c r="H49" s="60">
        <f>G49</f>
        <v>0</v>
      </c>
      <c r="I49" s="218"/>
      <c r="J49" s="218"/>
      <c r="K49" s="50"/>
      <c r="L49" s="79"/>
      <c r="M49" s="80"/>
      <c r="N49" s="111"/>
      <c r="O49" s="48"/>
      <c r="P49" s="53"/>
      <c r="Q49" s="53"/>
      <c r="R49" s="53"/>
      <c r="S49" s="53"/>
      <c r="T49" s="53"/>
      <c r="U49" s="53"/>
      <c r="V49" s="53"/>
      <c r="W49" s="53"/>
      <c r="X49" s="53"/>
    </row>
    <row r="50" spans="1:24" ht="15">
      <c r="A50" s="53"/>
      <c r="B50" s="110"/>
      <c r="C50" s="509"/>
      <c r="D50" s="510"/>
      <c r="E50" s="509"/>
      <c r="F50" s="72" t="s">
        <v>287</v>
      </c>
      <c r="G50" s="218"/>
      <c r="H50" s="218"/>
      <c r="I50" s="218"/>
      <c r="J50" s="218"/>
      <c r="K50" s="50"/>
      <c r="L50" s="50"/>
      <c r="M50" s="50"/>
      <c r="N50" s="111"/>
      <c r="O50" s="48"/>
      <c r="P50" s="53"/>
      <c r="Q50" s="53"/>
      <c r="R50" s="53"/>
      <c r="S50" s="53"/>
      <c r="T50" s="53"/>
      <c r="U50" s="53"/>
      <c r="V50" s="53"/>
      <c r="W50" s="53"/>
      <c r="X50" s="53"/>
    </row>
    <row r="51" spans="1:24" ht="15.75">
      <c r="A51" s="53"/>
      <c r="B51" s="110"/>
      <c r="C51" s="507"/>
      <c r="D51" s="510">
        <f>C51*1.25</f>
        <v>0</v>
      </c>
      <c r="E51" s="507"/>
      <c r="F51" s="471" t="s">
        <v>385</v>
      </c>
      <c r="G51" s="71">
        <f>D51*1.25</f>
        <v>0</v>
      </c>
      <c r="H51" s="71">
        <f>G51</f>
        <v>0</v>
      </c>
      <c r="I51" s="217"/>
      <c r="J51" s="217"/>
      <c r="K51" s="50"/>
      <c r="L51" s="79"/>
      <c r="M51" s="80"/>
      <c r="N51" s="111"/>
      <c r="O51" s="48"/>
      <c r="P51" s="53"/>
      <c r="Q51" s="53"/>
      <c r="R51" s="53"/>
      <c r="S51" s="53"/>
      <c r="T51" s="53"/>
      <c r="U51" s="53"/>
      <c r="V51" s="53"/>
      <c r="W51" s="53"/>
      <c r="X51" s="53"/>
    </row>
    <row r="52" spans="1:24" ht="15.75">
      <c r="A52" s="53"/>
      <c r="B52" s="110"/>
      <c r="C52" s="508"/>
      <c r="D52" s="510"/>
      <c r="E52" s="508"/>
      <c r="F52" s="471" t="s">
        <v>233</v>
      </c>
      <c r="G52" s="60">
        <f>E51</f>
        <v>0</v>
      </c>
      <c r="H52" s="60">
        <f>G52</f>
        <v>0</v>
      </c>
      <c r="I52" s="218"/>
      <c r="J52" s="218"/>
      <c r="K52" s="50"/>
      <c r="L52" s="79"/>
      <c r="M52" s="80"/>
      <c r="N52" s="111"/>
      <c r="O52" s="48"/>
      <c r="P52" s="53"/>
      <c r="Q52" s="53"/>
      <c r="R52" s="53"/>
      <c r="S52" s="53"/>
      <c r="T52" s="53"/>
      <c r="U52" s="53"/>
      <c r="V52" s="53"/>
      <c r="W52" s="53"/>
      <c r="X52" s="53"/>
    </row>
    <row r="53" spans="1:24" ht="15">
      <c r="A53" s="53"/>
      <c r="B53" s="110"/>
      <c r="C53" s="509"/>
      <c r="D53" s="510"/>
      <c r="E53" s="509"/>
      <c r="F53" s="72" t="s">
        <v>287</v>
      </c>
      <c r="G53" s="218"/>
      <c r="H53" s="218"/>
      <c r="I53" s="218"/>
      <c r="J53" s="218"/>
      <c r="K53" s="50"/>
      <c r="L53" s="50"/>
      <c r="M53" s="50"/>
      <c r="N53" s="111"/>
      <c r="O53" s="48"/>
      <c r="P53" s="53"/>
      <c r="Q53" s="53"/>
      <c r="R53" s="53"/>
      <c r="S53" s="53"/>
      <c r="T53" s="53"/>
      <c r="U53" s="53"/>
      <c r="V53" s="53"/>
      <c r="W53" s="53"/>
      <c r="X53" s="53"/>
    </row>
    <row r="54" spans="1:24">
      <c r="A54" s="53"/>
      <c r="B54" s="114"/>
      <c r="C54" s="115"/>
      <c r="D54" s="115"/>
      <c r="E54" s="115"/>
      <c r="F54" s="115"/>
      <c r="G54" s="115"/>
      <c r="H54" s="115"/>
      <c r="I54" s="115"/>
      <c r="J54" s="115"/>
      <c r="K54" s="115"/>
      <c r="L54" s="115"/>
      <c r="M54" s="115"/>
      <c r="N54" s="116"/>
      <c r="O54" s="48"/>
      <c r="P54" s="53"/>
      <c r="Q54" s="53"/>
      <c r="R54" s="53"/>
      <c r="S54" s="53"/>
      <c r="T54" s="53"/>
      <c r="U54" s="53"/>
      <c r="V54" s="53"/>
      <c r="W54" s="53"/>
      <c r="X54" s="53"/>
    </row>
    <row r="55" spans="1:24">
      <c r="A55" s="48"/>
      <c r="B55" s="48"/>
      <c r="C55" s="48"/>
      <c r="D55" s="48"/>
      <c r="E55" s="48"/>
      <c r="F55" s="48"/>
      <c r="G55" s="48"/>
      <c r="H55" s="48"/>
      <c r="I55" s="48"/>
      <c r="J55" s="48"/>
      <c r="K55" s="48"/>
      <c r="L55" s="48"/>
      <c r="M55" s="48"/>
      <c r="N55" s="48"/>
      <c r="O55" s="48"/>
      <c r="P55" s="53"/>
      <c r="Q55" s="53"/>
      <c r="R55" s="53"/>
      <c r="S55" s="53"/>
      <c r="T55" s="53"/>
      <c r="U55" s="53"/>
      <c r="V55" s="53"/>
      <c r="W55" s="53"/>
      <c r="X55" s="53"/>
    </row>
    <row r="56" spans="1:24">
      <c r="A56" s="48"/>
      <c r="B56" s="48"/>
      <c r="C56" s="48"/>
      <c r="D56" s="48"/>
      <c r="E56" s="48"/>
      <c r="F56" s="48"/>
      <c r="G56" s="48"/>
      <c r="H56" s="48"/>
      <c r="I56" s="48"/>
      <c r="J56" s="48"/>
      <c r="K56" s="48"/>
      <c r="L56" s="48"/>
      <c r="M56" s="48"/>
      <c r="N56" s="48"/>
      <c r="O56" s="48"/>
      <c r="P56" s="53"/>
      <c r="Q56" s="53"/>
      <c r="R56" s="53"/>
      <c r="S56" s="53"/>
      <c r="T56" s="53"/>
      <c r="U56" s="53"/>
      <c r="V56" s="53"/>
      <c r="W56" s="53"/>
      <c r="X56" s="53"/>
    </row>
    <row r="57" spans="1:24">
      <c r="A57" s="48"/>
      <c r="B57" s="48"/>
      <c r="C57" s="48"/>
      <c r="D57" s="48"/>
      <c r="E57" s="48"/>
      <c r="F57" s="48"/>
      <c r="G57" s="48"/>
      <c r="H57" s="48"/>
      <c r="I57" s="48"/>
      <c r="J57" s="48"/>
      <c r="K57" s="48"/>
      <c r="L57" s="48"/>
      <c r="M57" s="48"/>
      <c r="N57" s="48"/>
      <c r="O57" s="48"/>
      <c r="P57" s="53"/>
      <c r="Q57" s="53"/>
      <c r="R57" s="53"/>
      <c r="S57" s="53"/>
      <c r="T57" s="53"/>
      <c r="U57" s="53"/>
      <c r="V57" s="53"/>
      <c r="W57" s="53"/>
      <c r="X57" s="53"/>
    </row>
    <row r="58" spans="1:24">
      <c r="A58" s="48"/>
      <c r="B58" s="48"/>
      <c r="C58" s="48"/>
      <c r="D58" s="48"/>
      <c r="E58" s="48"/>
      <c r="F58" s="48"/>
      <c r="G58" s="48"/>
      <c r="H58" s="48"/>
      <c r="I58" s="48"/>
      <c r="J58" s="48"/>
      <c r="K58" s="48"/>
      <c r="L58" s="48"/>
      <c r="M58" s="48"/>
      <c r="N58" s="48"/>
      <c r="O58" s="48"/>
      <c r="P58" s="53"/>
      <c r="Q58" s="53"/>
      <c r="R58" s="53"/>
      <c r="S58" s="53"/>
      <c r="T58" s="53"/>
      <c r="U58" s="53"/>
      <c r="V58" s="53"/>
      <c r="W58" s="53"/>
      <c r="X58" s="53"/>
    </row>
    <row r="59" spans="1:24">
      <c r="A59" s="48"/>
      <c r="B59" s="48"/>
      <c r="C59" s="48"/>
      <c r="D59" s="48"/>
      <c r="E59" s="48"/>
      <c r="F59" s="48"/>
      <c r="G59" s="48"/>
      <c r="H59" s="48"/>
      <c r="I59" s="48"/>
      <c r="J59" s="48"/>
      <c r="K59" s="48"/>
      <c r="L59" s="48"/>
      <c r="M59" s="48"/>
      <c r="N59" s="48"/>
      <c r="O59" s="48"/>
      <c r="P59" s="53"/>
      <c r="Q59" s="53"/>
      <c r="R59" s="53"/>
      <c r="S59" s="53"/>
      <c r="T59" s="53"/>
      <c r="U59" s="53"/>
      <c r="V59" s="53"/>
      <c r="W59" s="53"/>
      <c r="X59" s="53"/>
    </row>
    <row r="60" spans="1:24">
      <c r="A60" s="48"/>
      <c r="B60" s="48"/>
      <c r="C60" s="48"/>
      <c r="D60" s="48"/>
      <c r="E60" s="48"/>
      <c r="F60" s="48"/>
      <c r="G60" s="48"/>
      <c r="H60" s="48"/>
      <c r="I60" s="48"/>
      <c r="J60" s="48"/>
      <c r="K60" s="48"/>
      <c r="L60" s="48"/>
      <c r="M60" s="48"/>
      <c r="N60" s="48"/>
      <c r="O60" s="48"/>
      <c r="P60" s="53"/>
      <c r="Q60" s="53"/>
      <c r="R60" s="53"/>
      <c r="S60" s="53"/>
      <c r="T60" s="53"/>
      <c r="U60" s="53"/>
      <c r="V60" s="53"/>
      <c r="W60" s="53"/>
      <c r="X60" s="53"/>
    </row>
    <row r="61" spans="1:24">
      <c r="A61" s="48"/>
      <c r="B61" s="48"/>
      <c r="C61" s="48"/>
      <c r="D61" s="48"/>
      <c r="E61" s="48"/>
      <c r="F61" s="48"/>
      <c r="G61" s="48"/>
      <c r="H61" s="48"/>
      <c r="I61" s="48"/>
      <c r="J61" s="48"/>
      <c r="K61" s="48"/>
      <c r="L61" s="48"/>
      <c r="M61" s="48"/>
      <c r="N61" s="48"/>
      <c r="O61" s="48"/>
      <c r="P61" s="53"/>
      <c r="Q61" s="53"/>
      <c r="R61" s="53"/>
      <c r="S61" s="53"/>
      <c r="T61" s="53"/>
      <c r="U61" s="53"/>
      <c r="V61" s="53"/>
      <c r="W61" s="53"/>
      <c r="X61" s="53"/>
    </row>
    <row r="62" spans="1:24">
      <c r="A62" s="48"/>
      <c r="B62" s="48"/>
      <c r="C62" s="48"/>
      <c r="D62" s="48"/>
      <c r="E62" s="48"/>
      <c r="F62" s="48"/>
      <c r="G62" s="48"/>
      <c r="H62" s="48"/>
      <c r="I62" s="48"/>
      <c r="J62" s="48"/>
      <c r="K62" s="48"/>
      <c r="L62" s="48"/>
      <c r="M62" s="48"/>
      <c r="N62" s="48"/>
      <c r="O62" s="48"/>
      <c r="P62" s="53"/>
      <c r="Q62" s="53"/>
      <c r="R62" s="53"/>
      <c r="S62" s="53"/>
      <c r="T62" s="53"/>
      <c r="U62" s="53"/>
      <c r="V62" s="53"/>
      <c r="W62" s="53"/>
      <c r="X62" s="53"/>
    </row>
    <row r="63" spans="1:24">
      <c r="A63" s="48"/>
      <c r="B63" s="48"/>
      <c r="C63" s="48"/>
      <c r="D63" s="48"/>
      <c r="E63" s="48"/>
      <c r="F63" s="48"/>
      <c r="G63" s="48"/>
      <c r="H63" s="48"/>
      <c r="I63" s="48"/>
      <c r="J63" s="48"/>
      <c r="K63" s="48"/>
      <c r="L63" s="48"/>
      <c r="M63" s="48"/>
      <c r="N63" s="48"/>
      <c r="O63" s="48"/>
      <c r="P63" s="53"/>
      <c r="Q63" s="53"/>
      <c r="R63" s="53"/>
      <c r="S63" s="53"/>
      <c r="T63" s="53"/>
      <c r="U63" s="53"/>
      <c r="V63" s="53"/>
      <c r="W63" s="53"/>
      <c r="X63" s="53"/>
    </row>
    <row r="64" spans="1:24">
      <c r="A64" s="48"/>
      <c r="B64" s="48"/>
      <c r="C64" s="48"/>
      <c r="D64" s="48"/>
      <c r="E64" s="48"/>
      <c r="F64" s="48"/>
      <c r="G64" s="48"/>
      <c r="H64" s="48"/>
      <c r="I64" s="48"/>
      <c r="J64" s="48"/>
      <c r="K64" s="48"/>
      <c r="L64" s="48"/>
      <c r="M64" s="48"/>
      <c r="N64" s="48"/>
      <c r="O64" s="48"/>
      <c r="P64" s="53"/>
      <c r="Q64" s="53"/>
      <c r="R64" s="53"/>
      <c r="S64" s="53"/>
      <c r="T64" s="53"/>
      <c r="U64" s="53"/>
      <c r="V64" s="53"/>
      <c r="W64" s="53"/>
      <c r="X64" s="53"/>
    </row>
    <row r="65" spans="1:24">
      <c r="A65" s="48"/>
      <c r="B65" s="48"/>
      <c r="C65" s="48"/>
      <c r="D65" s="48"/>
      <c r="E65" s="48"/>
      <c r="F65" s="48"/>
      <c r="G65" s="48"/>
      <c r="H65" s="48"/>
      <c r="I65" s="48"/>
      <c r="J65" s="48"/>
      <c r="K65" s="48"/>
      <c r="L65" s="48"/>
      <c r="M65" s="48"/>
      <c r="N65" s="48"/>
      <c r="O65" s="48"/>
      <c r="P65" s="53"/>
      <c r="Q65" s="53"/>
      <c r="R65" s="53"/>
      <c r="S65" s="53"/>
      <c r="T65" s="53"/>
      <c r="U65" s="53"/>
      <c r="V65" s="53"/>
      <c r="W65" s="53"/>
      <c r="X65" s="53"/>
    </row>
    <row r="66" spans="1:24">
      <c r="A66" s="48"/>
      <c r="B66" s="48"/>
      <c r="C66" s="48"/>
      <c r="D66" s="48"/>
      <c r="E66" s="48"/>
      <c r="F66" s="48"/>
      <c r="G66" s="48"/>
      <c r="H66" s="48"/>
      <c r="I66" s="48"/>
      <c r="J66" s="48"/>
      <c r="K66" s="48"/>
      <c r="L66" s="48"/>
      <c r="M66" s="48"/>
      <c r="N66" s="48"/>
      <c r="O66" s="48"/>
      <c r="P66" s="53"/>
      <c r="Q66" s="53"/>
      <c r="R66" s="53"/>
      <c r="S66" s="53"/>
      <c r="T66" s="53"/>
      <c r="U66" s="53"/>
      <c r="V66" s="53"/>
      <c r="W66" s="53"/>
      <c r="X66" s="53"/>
    </row>
    <row r="67" spans="1:24">
      <c r="A67" s="48"/>
      <c r="B67" s="48"/>
      <c r="C67" s="48"/>
      <c r="D67" s="48"/>
      <c r="E67" s="48"/>
      <c r="F67" s="48"/>
      <c r="G67" s="48"/>
      <c r="H67" s="48"/>
      <c r="I67" s="48"/>
      <c r="J67" s="48"/>
      <c r="K67" s="48"/>
      <c r="L67" s="48"/>
      <c r="M67" s="48"/>
      <c r="N67" s="48"/>
      <c r="O67" s="48"/>
      <c r="P67" s="53"/>
      <c r="Q67" s="53"/>
      <c r="R67" s="53"/>
      <c r="S67" s="53"/>
      <c r="T67" s="53"/>
      <c r="U67" s="53"/>
      <c r="V67" s="53"/>
      <c r="W67" s="53"/>
      <c r="X67" s="53"/>
    </row>
    <row r="68" spans="1:24">
      <c r="A68" s="53"/>
      <c r="B68" s="53"/>
      <c r="C68" s="53"/>
      <c r="D68" s="53"/>
      <c r="E68" s="53"/>
      <c r="F68" s="53"/>
      <c r="G68" s="53"/>
      <c r="H68" s="53"/>
      <c r="I68" s="53"/>
      <c r="J68" s="53"/>
      <c r="K68" s="53"/>
      <c r="L68" s="53"/>
      <c r="M68" s="53"/>
      <c r="N68" s="53"/>
      <c r="O68" s="53"/>
      <c r="P68" s="53"/>
      <c r="Q68" s="53"/>
      <c r="R68" s="53"/>
      <c r="S68" s="53"/>
      <c r="T68" s="53"/>
      <c r="U68" s="53"/>
      <c r="V68" s="53"/>
      <c r="W68" s="53"/>
      <c r="X68" s="53"/>
    </row>
    <row r="69" spans="1:24">
      <c r="A69" s="53"/>
      <c r="B69" s="53"/>
      <c r="C69" s="53"/>
      <c r="D69" s="53"/>
      <c r="E69" s="53"/>
      <c r="F69" s="53"/>
      <c r="G69" s="53"/>
      <c r="H69" s="53"/>
      <c r="I69" s="53"/>
      <c r="J69" s="53"/>
      <c r="K69" s="53"/>
      <c r="L69" s="53"/>
      <c r="M69" s="53"/>
      <c r="N69" s="53"/>
      <c r="O69" s="53"/>
      <c r="P69" s="53"/>
      <c r="Q69" s="53"/>
      <c r="R69" s="53"/>
      <c r="S69" s="53"/>
      <c r="T69" s="53"/>
      <c r="U69" s="53"/>
      <c r="V69" s="53"/>
      <c r="W69" s="53"/>
      <c r="X69" s="53"/>
    </row>
    <row r="70" spans="1:24">
      <c r="A70" s="53"/>
      <c r="B70" s="53"/>
      <c r="C70" s="53"/>
      <c r="D70" s="53"/>
      <c r="E70" s="53"/>
      <c r="F70" s="53"/>
      <c r="G70" s="53"/>
      <c r="H70" s="53"/>
      <c r="I70" s="53"/>
      <c r="J70" s="53"/>
      <c r="K70" s="53"/>
      <c r="L70" s="53"/>
      <c r="M70" s="53"/>
      <c r="N70" s="53"/>
      <c r="O70" s="53"/>
      <c r="P70" s="53"/>
      <c r="Q70" s="53"/>
      <c r="R70" s="53"/>
      <c r="S70" s="53"/>
      <c r="T70" s="53"/>
      <c r="U70" s="53"/>
      <c r="V70" s="53"/>
      <c r="W70" s="53"/>
      <c r="X70" s="53"/>
    </row>
    <row r="71" spans="1:24">
      <c r="A71" s="53"/>
      <c r="B71" s="53"/>
      <c r="C71" s="53"/>
      <c r="D71" s="53"/>
      <c r="E71" s="53"/>
      <c r="F71" s="53"/>
      <c r="G71" s="53"/>
      <c r="H71" s="53"/>
      <c r="I71" s="53"/>
      <c r="J71" s="53"/>
      <c r="K71" s="53"/>
      <c r="L71" s="53"/>
      <c r="M71" s="53"/>
      <c r="N71" s="53"/>
      <c r="O71" s="53"/>
      <c r="P71" s="53"/>
      <c r="Q71" s="53"/>
      <c r="R71" s="53"/>
      <c r="S71" s="53"/>
      <c r="T71" s="53"/>
      <c r="U71" s="53"/>
      <c r="V71" s="53"/>
      <c r="W71" s="53"/>
      <c r="X71" s="53"/>
    </row>
    <row r="72" spans="1:24">
      <c r="A72" s="53"/>
      <c r="B72" s="53"/>
      <c r="C72" s="53"/>
      <c r="D72" s="53"/>
      <c r="E72" s="53"/>
      <c r="F72" s="53"/>
      <c r="G72" s="53"/>
      <c r="H72" s="53"/>
      <c r="I72" s="53"/>
      <c r="J72" s="53"/>
      <c r="K72" s="53"/>
      <c r="L72" s="53"/>
      <c r="M72" s="53"/>
      <c r="N72" s="53"/>
      <c r="O72" s="53"/>
      <c r="P72" s="53"/>
      <c r="Q72" s="53"/>
      <c r="R72" s="53"/>
      <c r="S72" s="53"/>
      <c r="T72" s="53"/>
      <c r="U72" s="53"/>
      <c r="V72" s="53"/>
      <c r="W72" s="53"/>
      <c r="X72" s="53"/>
    </row>
    <row r="73" spans="1:24">
      <c r="A73" s="53"/>
      <c r="B73" s="53"/>
      <c r="C73" s="53"/>
      <c r="D73" s="53"/>
      <c r="E73" s="53"/>
      <c r="F73" s="53"/>
      <c r="G73" s="53"/>
      <c r="H73" s="53"/>
      <c r="I73" s="53"/>
      <c r="J73" s="53"/>
      <c r="K73" s="53"/>
      <c r="L73" s="53"/>
      <c r="M73" s="53"/>
      <c r="N73" s="53"/>
      <c r="O73" s="53"/>
      <c r="P73" s="53"/>
      <c r="Q73" s="53"/>
      <c r="R73" s="53"/>
      <c r="S73" s="53"/>
      <c r="T73" s="53"/>
      <c r="U73" s="53"/>
      <c r="V73" s="53"/>
      <c r="W73" s="53"/>
      <c r="X73" s="53"/>
    </row>
    <row r="74" spans="1:24">
      <c r="A74" s="53"/>
      <c r="B74" s="53"/>
      <c r="C74" s="53"/>
      <c r="D74" s="53"/>
      <c r="E74" s="53"/>
      <c r="F74" s="53"/>
      <c r="G74" s="53"/>
      <c r="H74" s="53"/>
      <c r="I74" s="53"/>
      <c r="J74" s="53"/>
      <c r="K74" s="53"/>
      <c r="L74" s="53"/>
      <c r="M74" s="53"/>
      <c r="N74" s="53"/>
      <c r="O74" s="53"/>
      <c r="P74" s="53"/>
      <c r="Q74" s="53"/>
      <c r="R74" s="53"/>
      <c r="S74" s="53"/>
      <c r="T74" s="53"/>
      <c r="U74" s="53"/>
      <c r="V74" s="53"/>
      <c r="W74" s="53"/>
      <c r="X74" s="53"/>
    </row>
    <row r="75" spans="1:24">
      <c r="A75" s="53"/>
      <c r="B75" s="53"/>
      <c r="C75" s="53"/>
      <c r="D75" s="53"/>
      <c r="E75" s="53"/>
      <c r="F75" s="53"/>
      <c r="G75" s="53"/>
      <c r="H75" s="53"/>
      <c r="I75" s="53"/>
      <c r="J75" s="53"/>
      <c r="K75" s="53"/>
      <c r="L75" s="53"/>
      <c r="M75" s="53"/>
      <c r="N75" s="53"/>
      <c r="O75" s="53"/>
      <c r="P75" s="53"/>
      <c r="Q75" s="53"/>
      <c r="R75" s="53"/>
      <c r="S75" s="53"/>
      <c r="T75" s="53"/>
      <c r="U75" s="53"/>
      <c r="V75" s="53"/>
      <c r="W75" s="53"/>
      <c r="X75" s="53"/>
    </row>
    <row r="76" spans="1:24">
      <c r="A76" s="53"/>
      <c r="B76" s="53"/>
      <c r="C76" s="53"/>
      <c r="D76" s="53"/>
      <c r="E76" s="53"/>
      <c r="F76" s="53"/>
      <c r="G76" s="53"/>
      <c r="H76" s="53"/>
      <c r="I76" s="53"/>
      <c r="J76" s="53"/>
      <c r="K76" s="53"/>
      <c r="L76" s="53"/>
      <c r="M76" s="53"/>
      <c r="N76" s="53"/>
      <c r="O76" s="53"/>
      <c r="P76" s="53"/>
      <c r="Q76" s="53"/>
      <c r="R76" s="53"/>
      <c r="S76" s="53"/>
      <c r="T76" s="53"/>
      <c r="U76" s="53"/>
      <c r="V76" s="53"/>
      <c r="W76" s="53"/>
      <c r="X76" s="53"/>
    </row>
    <row r="77" spans="1:24">
      <c r="A77" s="53"/>
      <c r="B77" s="53"/>
      <c r="C77" s="53"/>
      <c r="D77" s="53"/>
      <c r="E77" s="53"/>
      <c r="F77" s="53"/>
      <c r="G77" s="53"/>
      <c r="H77" s="53"/>
      <c r="I77" s="53"/>
      <c r="J77" s="53"/>
      <c r="K77" s="53"/>
      <c r="L77" s="53"/>
      <c r="M77" s="53"/>
      <c r="N77" s="53"/>
      <c r="O77" s="53"/>
      <c r="P77" s="53"/>
      <c r="Q77" s="53"/>
      <c r="R77" s="53"/>
      <c r="S77" s="53"/>
      <c r="T77" s="53"/>
      <c r="U77" s="53"/>
      <c r="V77" s="53"/>
      <c r="W77" s="53"/>
      <c r="X77" s="53"/>
    </row>
    <row r="78" spans="1:24">
      <c r="A78" s="53"/>
      <c r="B78" s="53"/>
      <c r="C78" s="53"/>
      <c r="D78" s="53"/>
      <c r="E78" s="53"/>
      <c r="F78" s="53"/>
      <c r="G78" s="53"/>
      <c r="H78" s="53"/>
      <c r="I78" s="53"/>
      <c r="J78" s="53"/>
      <c r="K78" s="53"/>
      <c r="L78" s="53"/>
      <c r="M78" s="53"/>
      <c r="N78" s="53"/>
      <c r="O78" s="53"/>
      <c r="P78" s="53"/>
      <c r="Q78" s="53"/>
      <c r="R78" s="53"/>
      <c r="S78" s="53"/>
      <c r="T78" s="53"/>
      <c r="U78" s="53"/>
      <c r="V78" s="53"/>
      <c r="W78" s="53"/>
      <c r="X78" s="53"/>
    </row>
    <row r="79" spans="1:24">
      <c r="A79" s="53"/>
      <c r="B79" s="53"/>
      <c r="C79" s="53"/>
      <c r="D79" s="53"/>
      <c r="E79" s="53"/>
      <c r="F79" s="53"/>
      <c r="G79" s="53"/>
      <c r="H79" s="53"/>
      <c r="I79" s="53"/>
      <c r="J79" s="53"/>
      <c r="K79" s="53"/>
      <c r="L79" s="53"/>
      <c r="M79" s="53"/>
      <c r="N79" s="53"/>
      <c r="O79" s="53"/>
      <c r="P79" s="53"/>
      <c r="Q79" s="53"/>
      <c r="R79" s="53"/>
      <c r="S79" s="53"/>
      <c r="T79" s="53"/>
      <c r="U79" s="53"/>
      <c r="V79" s="53"/>
      <c r="W79" s="53"/>
      <c r="X79" s="53"/>
    </row>
    <row r="80" spans="1:24">
      <c r="A80" s="53"/>
      <c r="B80" s="53"/>
      <c r="C80" s="53"/>
      <c r="D80" s="53"/>
      <c r="E80" s="53"/>
      <c r="F80" s="53"/>
      <c r="G80" s="53"/>
      <c r="H80" s="53"/>
      <c r="I80" s="53"/>
      <c r="J80" s="53"/>
      <c r="K80" s="53"/>
      <c r="L80" s="53"/>
      <c r="M80" s="53"/>
      <c r="N80" s="53"/>
      <c r="O80" s="53"/>
      <c r="P80" s="53"/>
      <c r="Q80" s="53"/>
      <c r="R80" s="53"/>
      <c r="S80" s="53"/>
      <c r="T80" s="53"/>
      <c r="U80" s="53"/>
      <c r="V80" s="53"/>
      <c r="W80" s="53"/>
      <c r="X80" s="53"/>
    </row>
    <row r="81" spans="1:24">
      <c r="A81" s="53"/>
      <c r="B81" s="53"/>
      <c r="C81" s="53"/>
      <c r="D81" s="53"/>
      <c r="E81" s="53"/>
      <c r="F81" s="53"/>
      <c r="G81" s="53"/>
      <c r="H81" s="53"/>
      <c r="I81" s="53"/>
      <c r="J81" s="53"/>
      <c r="K81" s="53"/>
      <c r="L81" s="53"/>
      <c r="M81" s="53"/>
      <c r="N81" s="53"/>
      <c r="O81" s="53"/>
      <c r="P81" s="53"/>
      <c r="Q81" s="53"/>
      <c r="R81" s="53"/>
      <c r="S81" s="53"/>
      <c r="T81" s="53"/>
      <c r="U81" s="53"/>
      <c r="V81" s="53"/>
      <c r="W81" s="53"/>
      <c r="X81" s="53"/>
    </row>
    <row r="82" spans="1:24">
      <c r="A82" s="53"/>
      <c r="B82" s="53"/>
      <c r="C82" s="53"/>
      <c r="D82" s="53"/>
      <c r="E82" s="53"/>
      <c r="F82" s="53"/>
      <c r="G82" s="53"/>
      <c r="H82" s="53"/>
      <c r="I82" s="53"/>
      <c r="J82" s="53"/>
      <c r="K82" s="53"/>
      <c r="L82" s="53"/>
      <c r="M82" s="53"/>
      <c r="N82" s="53"/>
      <c r="O82" s="53"/>
      <c r="P82" s="53"/>
      <c r="Q82" s="53"/>
      <c r="R82" s="53"/>
      <c r="S82" s="53"/>
      <c r="T82" s="53"/>
      <c r="U82" s="53"/>
      <c r="V82" s="53"/>
      <c r="W82" s="53"/>
      <c r="X82" s="53"/>
    </row>
    <row r="83" spans="1:24">
      <c r="A83" s="53"/>
      <c r="B83" s="53"/>
      <c r="C83" s="53"/>
      <c r="D83" s="53"/>
      <c r="E83" s="53"/>
      <c r="F83" s="53"/>
      <c r="G83" s="53"/>
      <c r="H83" s="53"/>
      <c r="I83" s="53"/>
      <c r="J83" s="53"/>
      <c r="K83" s="53"/>
      <c r="L83" s="53"/>
      <c r="M83" s="53"/>
      <c r="N83" s="53"/>
      <c r="O83" s="53"/>
      <c r="P83" s="53"/>
      <c r="Q83" s="53"/>
      <c r="R83" s="53"/>
      <c r="S83" s="53"/>
      <c r="T83" s="53"/>
      <c r="U83" s="53"/>
      <c r="V83" s="53"/>
      <c r="W83" s="53"/>
      <c r="X83" s="53"/>
    </row>
    <row r="84" spans="1:24">
      <c r="A84" s="53"/>
      <c r="B84" s="53"/>
      <c r="C84" s="53"/>
      <c r="D84" s="53"/>
      <c r="E84" s="53"/>
      <c r="F84" s="53"/>
      <c r="G84" s="53"/>
      <c r="H84" s="53"/>
      <c r="I84" s="53"/>
      <c r="J84" s="53"/>
      <c r="K84" s="53"/>
      <c r="L84" s="53"/>
      <c r="M84" s="53"/>
      <c r="N84" s="53"/>
      <c r="O84" s="53"/>
      <c r="P84" s="53"/>
      <c r="Q84" s="53"/>
      <c r="R84" s="53"/>
      <c r="S84" s="53"/>
      <c r="T84" s="53"/>
      <c r="U84" s="53"/>
      <c r="V84" s="53"/>
      <c r="W84" s="53"/>
      <c r="X84" s="53"/>
    </row>
    <row r="85" spans="1:24">
      <c r="A85" s="53"/>
      <c r="B85" s="53"/>
      <c r="C85" s="53"/>
      <c r="D85" s="53"/>
      <c r="E85" s="53"/>
      <c r="F85" s="53"/>
      <c r="G85" s="53"/>
      <c r="H85" s="53"/>
      <c r="I85" s="53"/>
      <c r="J85" s="53"/>
      <c r="K85" s="53"/>
      <c r="L85" s="53"/>
      <c r="M85" s="53"/>
      <c r="N85" s="53"/>
      <c r="O85" s="53"/>
      <c r="P85" s="53"/>
      <c r="Q85" s="53"/>
      <c r="R85" s="53"/>
      <c r="S85" s="53"/>
      <c r="T85" s="53"/>
      <c r="U85" s="53"/>
      <c r="V85" s="53"/>
      <c r="W85" s="53"/>
      <c r="X85" s="53"/>
    </row>
    <row r="86" spans="1:24">
      <c r="A86" s="53"/>
      <c r="B86" s="53"/>
      <c r="C86" s="53"/>
      <c r="D86" s="53"/>
      <c r="E86" s="53"/>
      <c r="F86" s="53"/>
      <c r="G86" s="53"/>
      <c r="H86" s="53"/>
      <c r="I86" s="53"/>
      <c r="J86" s="53"/>
      <c r="K86" s="53"/>
      <c r="L86" s="53"/>
      <c r="M86" s="53"/>
      <c r="N86" s="53"/>
      <c r="O86" s="53"/>
      <c r="P86" s="53"/>
      <c r="Q86" s="53"/>
      <c r="R86" s="53"/>
      <c r="S86" s="53"/>
      <c r="T86" s="53"/>
      <c r="U86" s="53"/>
      <c r="V86" s="53"/>
      <c r="W86" s="53"/>
      <c r="X86" s="53"/>
    </row>
    <row r="87" spans="1:24">
      <c r="A87" s="53"/>
      <c r="B87" s="53"/>
      <c r="C87" s="53"/>
      <c r="D87" s="53"/>
      <c r="E87" s="53"/>
      <c r="F87" s="53"/>
      <c r="G87" s="53"/>
      <c r="H87" s="53"/>
      <c r="I87" s="53"/>
      <c r="J87" s="53"/>
      <c r="K87" s="53"/>
      <c r="L87" s="53"/>
      <c r="M87" s="53"/>
      <c r="N87" s="53"/>
      <c r="O87" s="53"/>
      <c r="P87" s="53"/>
      <c r="Q87" s="53"/>
      <c r="R87" s="53"/>
      <c r="S87" s="53"/>
      <c r="T87" s="53"/>
      <c r="U87" s="53"/>
      <c r="V87" s="53"/>
      <c r="W87" s="53"/>
      <c r="X87" s="53"/>
    </row>
    <row r="88" spans="1:24">
      <c r="A88" s="53"/>
      <c r="B88" s="53"/>
      <c r="C88" s="53"/>
      <c r="D88" s="53"/>
      <c r="E88" s="53"/>
      <c r="F88" s="53"/>
      <c r="G88" s="53"/>
      <c r="H88" s="53"/>
      <c r="I88" s="53"/>
      <c r="J88" s="53"/>
      <c r="K88" s="53"/>
      <c r="L88" s="53"/>
      <c r="M88" s="53"/>
      <c r="N88" s="53"/>
      <c r="O88" s="53"/>
      <c r="P88" s="53"/>
      <c r="Q88" s="53"/>
      <c r="R88" s="53"/>
      <c r="S88" s="53"/>
      <c r="T88" s="53"/>
      <c r="U88" s="53"/>
      <c r="V88" s="53"/>
      <c r="W88" s="53"/>
      <c r="X88" s="53"/>
    </row>
    <row r="89" spans="1:24">
      <c r="A89" s="53"/>
      <c r="B89" s="53"/>
      <c r="C89" s="53"/>
      <c r="D89" s="53"/>
      <c r="E89" s="53"/>
      <c r="F89" s="53"/>
      <c r="G89" s="53"/>
      <c r="H89" s="53"/>
      <c r="I89" s="53"/>
      <c r="J89" s="53"/>
      <c r="K89" s="53"/>
      <c r="L89" s="53"/>
      <c r="M89" s="53"/>
      <c r="N89" s="53"/>
      <c r="O89" s="53"/>
      <c r="P89" s="53"/>
      <c r="Q89" s="53"/>
      <c r="R89" s="53"/>
      <c r="S89" s="53"/>
      <c r="T89" s="53"/>
      <c r="U89" s="53"/>
      <c r="V89" s="53"/>
      <c r="W89" s="53"/>
      <c r="X89" s="53"/>
    </row>
    <row r="90" spans="1:24">
      <c r="A90" s="53"/>
      <c r="B90" s="53"/>
      <c r="C90" s="53"/>
      <c r="D90" s="53"/>
      <c r="E90" s="53"/>
      <c r="F90" s="53"/>
      <c r="G90" s="53"/>
      <c r="H90" s="53"/>
      <c r="I90" s="53"/>
      <c r="J90" s="53"/>
      <c r="K90" s="53"/>
      <c r="L90" s="53"/>
      <c r="M90" s="53"/>
      <c r="N90" s="53"/>
      <c r="O90" s="53"/>
      <c r="P90" s="53"/>
      <c r="Q90" s="53"/>
      <c r="R90" s="53"/>
      <c r="S90" s="53"/>
      <c r="T90" s="53"/>
      <c r="U90" s="53"/>
      <c r="V90" s="53"/>
      <c r="W90" s="53"/>
      <c r="X90" s="53"/>
    </row>
    <row r="91" spans="1:24">
      <c r="A91" s="53"/>
      <c r="B91" s="53"/>
      <c r="C91" s="53"/>
      <c r="D91" s="53"/>
      <c r="E91" s="53"/>
      <c r="F91" s="53"/>
      <c r="G91" s="53"/>
      <c r="H91" s="53"/>
      <c r="I91" s="53"/>
      <c r="J91" s="53"/>
      <c r="K91" s="53"/>
      <c r="L91" s="53"/>
      <c r="M91" s="53"/>
      <c r="N91" s="53"/>
      <c r="O91" s="53"/>
      <c r="P91" s="53"/>
      <c r="Q91" s="53"/>
      <c r="R91" s="53"/>
      <c r="S91" s="53"/>
      <c r="T91" s="53"/>
      <c r="U91" s="53"/>
      <c r="V91" s="53"/>
      <c r="W91" s="53"/>
      <c r="X91" s="53"/>
    </row>
    <row r="92" spans="1:24">
      <c r="A92" s="53"/>
      <c r="B92" s="53"/>
      <c r="C92" s="53"/>
      <c r="D92" s="53"/>
      <c r="E92" s="53"/>
      <c r="F92" s="53"/>
      <c r="G92" s="53"/>
      <c r="H92" s="53"/>
      <c r="I92" s="53"/>
      <c r="J92" s="53"/>
      <c r="K92" s="53"/>
      <c r="L92" s="53"/>
      <c r="M92" s="53"/>
      <c r="N92" s="53"/>
      <c r="O92" s="53"/>
      <c r="P92" s="53"/>
      <c r="Q92" s="53"/>
      <c r="R92" s="53"/>
      <c r="S92" s="53"/>
      <c r="T92" s="53"/>
      <c r="U92" s="53"/>
      <c r="V92" s="53"/>
      <c r="W92" s="53"/>
      <c r="X92" s="53"/>
    </row>
    <row r="93" spans="1:24">
      <c r="A93" s="53"/>
      <c r="B93" s="53"/>
      <c r="C93" s="53"/>
      <c r="D93" s="53"/>
      <c r="E93" s="53"/>
      <c r="F93" s="53"/>
      <c r="G93" s="53"/>
      <c r="H93" s="53"/>
      <c r="I93" s="53"/>
      <c r="J93" s="53"/>
      <c r="K93" s="53"/>
      <c r="L93" s="53"/>
      <c r="M93" s="53"/>
      <c r="N93" s="53"/>
      <c r="O93" s="53"/>
      <c r="P93" s="53"/>
      <c r="Q93" s="53"/>
      <c r="R93" s="53"/>
      <c r="S93" s="53"/>
      <c r="T93" s="53"/>
      <c r="U93" s="53"/>
      <c r="V93" s="53"/>
      <c r="W93" s="53"/>
      <c r="X93" s="53"/>
    </row>
    <row r="94" spans="1:24">
      <c r="A94" s="53"/>
      <c r="B94" s="53"/>
      <c r="C94" s="53"/>
      <c r="D94" s="53"/>
      <c r="E94" s="53"/>
      <c r="F94" s="53"/>
      <c r="G94" s="53"/>
      <c r="H94" s="53"/>
      <c r="I94" s="53"/>
      <c r="J94" s="53"/>
      <c r="K94" s="53"/>
      <c r="L94" s="53"/>
      <c r="M94" s="53"/>
      <c r="N94" s="53"/>
      <c r="O94" s="53"/>
      <c r="P94" s="53"/>
      <c r="Q94" s="53"/>
      <c r="R94" s="53"/>
      <c r="S94" s="53"/>
      <c r="T94" s="53"/>
      <c r="U94" s="53"/>
      <c r="V94" s="53"/>
      <c r="W94" s="53"/>
      <c r="X94" s="53"/>
    </row>
    <row r="95" spans="1:24">
      <c r="A95" s="53"/>
      <c r="B95" s="53"/>
      <c r="C95" s="53"/>
      <c r="D95" s="53"/>
      <c r="E95" s="53"/>
      <c r="F95" s="53"/>
      <c r="G95" s="53"/>
      <c r="H95" s="53"/>
      <c r="I95" s="53"/>
      <c r="J95" s="53"/>
      <c r="K95" s="53"/>
      <c r="L95" s="53"/>
      <c r="M95" s="53"/>
      <c r="N95" s="53"/>
      <c r="O95" s="53"/>
      <c r="P95" s="53"/>
      <c r="Q95" s="53"/>
      <c r="R95" s="53"/>
      <c r="S95" s="53"/>
      <c r="T95" s="53"/>
      <c r="U95" s="53"/>
      <c r="V95" s="53"/>
      <c r="W95" s="53"/>
      <c r="X95" s="53"/>
    </row>
    <row r="96" spans="1:24">
      <c r="A96" s="53"/>
      <c r="B96" s="53"/>
      <c r="C96" s="53"/>
      <c r="D96" s="53"/>
      <c r="E96" s="53"/>
      <c r="F96" s="53"/>
      <c r="G96" s="53"/>
      <c r="H96" s="53"/>
      <c r="I96" s="53"/>
      <c r="J96" s="53"/>
      <c r="K96" s="53"/>
      <c r="L96" s="53"/>
      <c r="M96" s="53"/>
      <c r="N96" s="53"/>
      <c r="O96" s="53"/>
      <c r="P96" s="53"/>
      <c r="Q96" s="53"/>
      <c r="R96" s="53"/>
      <c r="S96" s="53"/>
      <c r="T96" s="53"/>
      <c r="U96" s="53"/>
      <c r="V96" s="53"/>
      <c r="W96" s="53"/>
      <c r="X96" s="53"/>
    </row>
    <row r="97" spans="1:24">
      <c r="A97" s="53"/>
      <c r="B97" s="53"/>
      <c r="C97" s="53"/>
      <c r="D97" s="53"/>
      <c r="E97" s="53"/>
      <c r="F97" s="53"/>
      <c r="G97" s="53"/>
      <c r="H97" s="53"/>
      <c r="I97" s="53"/>
      <c r="J97" s="53"/>
      <c r="K97" s="53"/>
      <c r="L97" s="53"/>
      <c r="M97" s="53"/>
      <c r="N97" s="53"/>
      <c r="O97" s="53"/>
      <c r="P97" s="53"/>
      <c r="Q97" s="53"/>
      <c r="R97" s="53"/>
      <c r="S97" s="53"/>
      <c r="T97" s="53"/>
      <c r="U97" s="53"/>
      <c r="V97" s="53"/>
      <c r="W97" s="53"/>
      <c r="X97" s="53"/>
    </row>
    <row r="98" spans="1:24">
      <c r="A98" s="53"/>
      <c r="B98" s="53"/>
      <c r="C98" s="53"/>
      <c r="D98" s="53"/>
      <c r="E98" s="53"/>
      <c r="F98" s="53"/>
      <c r="G98" s="53"/>
      <c r="H98" s="53"/>
      <c r="I98" s="53"/>
      <c r="J98" s="53"/>
      <c r="K98" s="53"/>
      <c r="L98" s="53"/>
      <c r="M98" s="53"/>
      <c r="N98" s="53"/>
      <c r="O98" s="53"/>
      <c r="P98" s="53"/>
      <c r="Q98" s="53"/>
      <c r="R98" s="53"/>
      <c r="S98" s="53"/>
      <c r="T98" s="53"/>
      <c r="U98" s="53"/>
      <c r="V98" s="53"/>
      <c r="W98" s="53"/>
      <c r="X98" s="53"/>
    </row>
    <row r="99" spans="1:24">
      <c r="A99" s="53"/>
      <c r="B99" s="53"/>
      <c r="C99" s="53"/>
      <c r="D99" s="53"/>
      <c r="E99" s="53"/>
      <c r="F99" s="53"/>
      <c r="G99" s="53"/>
      <c r="H99" s="53"/>
      <c r="I99" s="53"/>
      <c r="J99" s="53"/>
      <c r="K99" s="53"/>
      <c r="L99" s="53"/>
      <c r="M99" s="53"/>
      <c r="N99" s="53"/>
      <c r="O99" s="53"/>
      <c r="P99" s="53"/>
      <c r="Q99" s="53"/>
      <c r="R99" s="53"/>
      <c r="S99" s="53"/>
      <c r="T99" s="53"/>
      <c r="U99" s="53"/>
      <c r="V99" s="53"/>
      <c r="W99" s="53"/>
      <c r="X99" s="53"/>
    </row>
    <row r="100" spans="1:24">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row>
    <row r="101" spans="1:24">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row>
    <row r="102" spans="1:24">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row>
    <row r="103" spans="1:24">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row>
    <row r="104" spans="1:2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row>
    <row r="105" spans="1:24">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row>
    <row r="106" spans="1:24">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row>
    <row r="107" spans="1:24">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row>
    <row r="108" spans="1:24">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row>
    <row r="109" spans="1:24">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row>
    <row r="110" spans="1:24">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row>
  </sheetData>
  <mergeCells count="10">
    <mergeCell ref="C25:J25"/>
    <mergeCell ref="C30:J30"/>
    <mergeCell ref="C35:J35"/>
    <mergeCell ref="C40:J40"/>
    <mergeCell ref="D14:F14"/>
    <mergeCell ref="D16:F16"/>
    <mergeCell ref="J14:L14"/>
    <mergeCell ref="J16:L16"/>
    <mergeCell ref="C18:L18"/>
    <mergeCell ref="C20:J2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78"/>
  <sheetViews>
    <sheetView workbookViewId="0">
      <selection activeCell="P10" sqref="P10"/>
    </sheetView>
  </sheetViews>
  <sheetFormatPr baseColWidth="10" defaultRowHeight="12.75"/>
  <cols>
    <col min="3" max="3" width="29.5703125" bestFit="1" customWidth="1"/>
    <col min="15" max="16" width="18.85546875" bestFit="1" customWidth="1"/>
    <col min="18" max="18" width="0.28515625" customWidth="1"/>
    <col min="19" max="19" width="11.42578125" hidden="1" customWidth="1"/>
  </cols>
  <sheetData>
    <row r="1" spans="1:36">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row>
    <row r="2" spans="1:36">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row>
    <row r="3" spans="1:36">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1:36">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row>
    <row r="6" spans="1:36">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row>
    <row r="7" spans="1:36">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row>
    <row r="9" spans="1:36">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row>
    <row r="10" spans="1:36">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row>
    <row r="11" spans="1:36">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36">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row>
    <row r="13" spans="1:36">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row>
    <row r="14" spans="1:36">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row>
    <row r="15" spans="1:36">
      <c r="A15" s="50"/>
      <c r="B15" s="107"/>
      <c r="C15" s="108"/>
      <c r="D15" s="108"/>
      <c r="E15" s="108"/>
      <c r="F15" s="108"/>
      <c r="G15" s="108"/>
      <c r="H15" s="108"/>
      <c r="I15" s="108"/>
      <c r="J15" s="108"/>
      <c r="K15" s="108"/>
      <c r="L15" s="108"/>
      <c r="M15" s="108"/>
      <c r="N15" s="108"/>
      <c r="O15" s="108"/>
      <c r="P15" s="108"/>
      <c r="Q15" s="138"/>
      <c r="R15" s="138"/>
      <c r="S15" s="138"/>
      <c r="T15" s="109"/>
      <c r="U15" s="48"/>
      <c r="V15" s="48"/>
      <c r="W15" s="48"/>
      <c r="X15" s="48"/>
      <c r="Y15" s="48"/>
      <c r="Z15" s="48"/>
      <c r="AA15" s="48"/>
      <c r="AB15" s="48"/>
      <c r="AC15" s="48"/>
      <c r="AD15" s="48"/>
      <c r="AE15" s="48"/>
      <c r="AF15" s="48"/>
      <c r="AG15" s="48"/>
      <c r="AH15" s="48"/>
      <c r="AI15" s="48"/>
      <c r="AJ15" s="48"/>
    </row>
    <row r="16" spans="1:36" ht="15">
      <c r="A16" s="50"/>
      <c r="B16" s="110"/>
      <c r="C16" s="49" t="s">
        <v>202</v>
      </c>
      <c r="D16" s="602" t="str">
        <f>Consumos!D15</f>
        <v>HOUSING</v>
      </c>
      <c r="E16" s="602"/>
      <c r="F16" s="602"/>
      <c r="G16" s="53"/>
      <c r="H16" s="63"/>
      <c r="I16" s="49" t="s">
        <v>204</v>
      </c>
      <c r="J16" s="602" t="str">
        <f>Consumos!H15</f>
        <v>POLAND</v>
      </c>
      <c r="K16" s="602"/>
      <c r="L16" s="602"/>
      <c r="M16" s="53"/>
      <c r="N16" s="53"/>
      <c r="O16" s="50"/>
      <c r="P16" s="50"/>
      <c r="Q16" s="50"/>
      <c r="R16" s="50"/>
      <c r="S16" s="50"/>
      <c r="T16" s="111"/>
      <c r="U16" s="48"/>
      <c r="V16" s="48"/>
      <c r="W16" s="48"/>
      <c r="X16" s="48"/>
      <c r="Y16" s="48"/>
      <c r="Z16" s="48"/>
      <c r="AA16" s="48"/>
      <c r="AB16" s="48"/>
      <c r="AC16" s="48"/>
      <c r="AD16" s="48"/>
      <c r="AE16" s="48"/>
      <c r="AF16" s="48"/>
      <c r="AG16" s="48"/>
      <c r="AH16" s="48"/>
      <c r="AI16" s="48"/>
      <c r="AJ16" s="48"/>
    </row>
    <row r="17" spans="1:36">
      <c r="A17" s="50"/>
      <c r="B17" s="110"/>
      <c r="C17" s="50"/>
      <c r="D17" s="50"/>
      <c r="E17" s="50"/>
      <c r="F17" s="50"/>
      <c r="G17" s="50"/>
      <c r="H17" s="50"/>
      <c r="I17" s="50"/>
      <c r="J17" s="50"/>
      <c r="K17" s="50"/>
      <c r="L17" s="50"/>
      <c r="M17" s="50"/>
      <c r="N17" s="50"/>
      <c r="O17" s="50"/>
      <c r="P17" s="50"/>
      <c r="Q17" s="50"/>
      <c r="R17" s="50"/>
      <c r="S17" s="50"/>
      <c r="T17" s="111"/>
      <c r="U17" s="48"/>
      <c r="V17" s="48"/>
      <c r="W17" s="48"/>
      <c r="X17" s="48"/>
      <c r="Y17" s="48"/>
      <c r="Z17" s="48"/>
      <c r="AA17" s="48"/>
      <c r="AB17" s="48"/>
      <c r="AC17" s="48"/>
      <c r="AD17" s="48"/>
      <c r="AE17" s="48"/>
      <c r="AF17" s="48"/>
      <c r="AG17" s="48"/>
      <c r="AH17" s="48"/>
      <c r="AI17" s="48"/>
      <c r="AJ17" s="48"/>
    </row>
    <row r="18" spans="1:36" ht="15">
      <c r="A18" s="50"/>
      <c r="B18" s="110"/>
      <c r="C18" s="49" t="s">
        <v>203</v>
      </c>
      <c r="D18" s="602" t="str">
        <f>Consumos!D17</f>
        <v>VIPSKILLS</v>
      </c>
      <c r="E18" s="602"/>
      <c r="F18" s="602"/>
      <c r="G18" s="53"/>
      <c r="H18" s="63"/>
      <c r="I18" s="49" t="s">
        <v>205</v>
      </c>
      <c r="J18" s="603">
        <f>Consumos!H17</f>
        <v>43285</v>
      </c>
      <c r="K18" s="603"/>
      <c r="L18" s="603"/>
      <c r="M18" s="53"/>
      <c r="N18" s="53"/>
      <c r="O18" s="50"/>
      <c r="P18" s="50"/>
      <c r="Q18" s="50"/>
      <c r="R18" s="50"/>
      <c r="S18" s="50"/>
      <c r="T18" s="111"/>
      <c r="U18" s="48"/>
      <c r="V18" s="48"/>
      <c r="W18" s="48"/>
      <c r="X18" s="48"/>
      <c r="Y18" s="48"/>
      <c r="Z18" s="48"/>
      <c r="AA18" s="48"/>
      <c r="AB18" s="48"/>
      <c r="AC18" s="48"/>
      <c r="AD18" s="48"/>
      <c r="AE18" s="48"/>
      <c r="AF18" s="48"/>
      <c r="AG18" s="48"/>
      <c r="AH18" s="48"/>
      <c r="AI18" s="48"/>
      <c r="AJ18" s="48"/>
    </row>
    <row r="19" spans="1:36" ht="15">
      <c r="A19" s="50"/>
      <c r="B19" s="110"/>
      <c r="C19" s="49"/>
      <c r="D19" s="103"/>
      <c r="E19" s="103"/>
      <c r="F19" s="103"/>
      <c r="G19" s="53"/>
      <c r="H19" s="63"/>
      <c r="I19" s="49"/>
      <c r="J19" s="103"/>
      <c r="K19" s="103"/>
      <c r="L19" s="103"/>
      <c r="M19" s="53"/>
      <c r="N19" s="53"/>
      <c r="O19" s="50"/>
      <c r="P19" s="50"/>
      <c r="Q19" s="50"/>
      <c r="R19" s="50"/>
      <c r="S19" s="50"/>
      <c r="T19" s="111"/>
      <c r="U19" s="48"/>
      <c r="V19" s="48"/>
      <c r="W19" s="48"/>
      <c r="X19" s="48"/>
      <c r="Y19" s="48"/>
      <c r="Z19" s="48"/>
      <c r="AA19" s="48"/>
      <c r="AB19" s="48"/>
      <c r="AC19" s="48"/>
      <c r="AD19" s="48"/>
      <c r="AE19" s="48"/>
      <c r="AF19" s="48"/>
      <c r="AG19" s="48"/>
      <c r="AH19" s="48"/>
      <c r="AI19" s="48"/>
      <c r="AJ19" s="48"/>
    </row>
    <row r="20" spans="1:36" ht="20.25">
      <c r="A20" s="50"/>
      <c r="B20" s="110"/>
      <c r="C20" s="605" t="s">
        <v>394</v>
      </c>
      <c r="D20" s="605"/>
      <c r="E20" s="605"/>
      <c r="F20" s="605"/>
      <c r="G20" s="605"/>
      <c r="H20" s="605"/>
      <c r="I20" s="605"/>
      <c r="J20" s="605"/>
      <c r="K20" s="605"/>
      <c r="L20" s="605"/>
      <c r="M20" s="605"/>
      <c r="N20" s="605"/>
      <c r="O20" s="605"/>
      <c r="P20" s="605"/>
      <c r="Q20" s="50"/>
      <c r="R20" s="50"/>
      <c r="S20" s="50"/>
      <c r="T20" s="111"/>
      <c r="U20" s="48"/>
      <c r="V20" s="48"/>
      <c r="W20" s="48"/>
      <c r="X20" s="48"/>
      <c r="Y20" s="48"/>
      <c r="Z20" s="48"/>
      <c r="AA20" s="48"/>
      <c r="AB20" s="48"/>
      <c r="AC20" s="48"/>
      <c r="AD20" s="48"/>
      <c r="AE20" s="48"/>
      <c r="AF20" s="48"/>
      <c r="AG20" s="48"/>
      <c r="AH20" s="48"/>
      <c r="AI20" s="48"/>
      <c r="AJ20" s="48"/>
    </row>
    <row r="21" spans="1:36" ht="20.25">
      <c r="A21" s="50"/>
      <c r="B21" s="110"/>
      <c r="C21" s="61"/>
      <c r="D21" s="50"/>
      <c r="E21" s="50"/>
      <c r="F21" s="513"/>
      <c r="G21" s="513"/>
      <c r="H21" s="50"/>
      <c r="I21" s="84"/>
      <c r="J21" s="85"/>
      <c r="K21" s="513"/>
      <c r="L21" s="513"/>
      <c r="M21" s="513"/>
      <c r="N21" s="50"/>
      <c r="O21" s="50"/>
      <c r="P21" s="50"/>
      <c r="Q21" s="50"/>
      <c r="R21" s="50"/>
      <c r="S21" s="50"/>
      <c r="T21" s="111"/>
      <c r="U21" s="48"/>
      <c r="V21" s="48"/>
      <c r="W21" s="48"/>
      <c r="X21" s="48"/>
      <c r="Y21" s="48"/>
      <c r="Z21" s="48"/>
      <c r="AA21" s="48"/>
      <c r="AB21" s="48"/>
      <c r="AC21" s="48"/>
      <c r="AD21" s="48"/>
      <c r="AE21" s="48"/>
      <c r="AF21" s="48"/>
      <c r="AG21" s="48"/>
      <c r="AH21" s="48"/>
      <c r="AI21" s="48"/>
      <c r="AJ21" s="48"/>
    </row>
    <row r="22" spans="1:36" ht="38.25">
      <c r="A22" s="50"/>
      <c r="B22" s="110"/>
      <c r="C22" s="81" t="s">
        <v>395</v>
      </c>
      <c r="D22" s="82" t="s">
        <v>210</v>
      </c>
      <c r="E22" s="82" t="s">
        <v>376</v>
      </c>
      <c r="F22" s="126" t="s">
        <v>400</v>
      </c>
      <c r="G22" s="126" t="s">
        <v>401</v>
      </c>
      <c r="H22" s="83" t="s">
        <v>402</v>
      </c>
      <c r="I22" s="126" t="s">
        <v>403</v>
      </c>
      <c r="J22" s="83" t="s">
        <v>404</v>
      </c>
      <c r="K22" s="126" t="s">
        <v>179</v>
      </c>
      <c r="L22" s="126" t="s">
        <v>405</v>
      </c>
      <c r="M22" s="126" t="s">
        <v>406</v>
      </c>
      <c r="N22" s="83" t="s">
        <v>407</v>
      </c>
      <c r="O22" s="83" t="s">
        <v>408</v>
      </c>
      <c r="P22" s="87" t="s">
        <v>409</v>
      </c>
      <c r="Q22" s="86"/>
      <c r="R22" s="485"/>
      <c r="S22" s="485"/>
      <c r="T22" s="111"/>
      <c r="U22" s="48"/>
      <c r="V22" s="48"/>
      <c r="W22" s="48"/>
      <c r="X22" s="48"/>
      <c r="Y22" s="48"/>
      <c r="Z22" s="48"/>
      <c r="AA22" s="48"/>
      <c r="AB22" s="48"/>
      <c r="AC22" s="48"/>
      <c r="AD22" s="48"/>
      <c r="AE22" s="48"/>
      <c r="AF22" s="48"/>
      <c r="AG22" s="48"/>
      <c r="AH22" s="48"/>
      <c r="AI22" s="48"/>
      <c r="AJ22" s="48"/>
    </row>
    <row r="23" spans="1:36" ht="15">
      <c r="A23" s="50"/>
      <c r="B23" s="110"/>
      <c r="C23" s="516" t="s">
        <v>410</v>
      </c>
      <c r="D23" s="517"/>
      <c r="E23" s="517"/>
      <c r="F23" s="517"/>
      <c r="G23" s="517"/>
      <c r="H23" s="517"/>
      <c r="I23" s="517"/>
      <c r="J23" s="517"/>
      <c r="K23" s="517"/>
      <c r="L23" s="517"/>
      <c r="M23" s="517"/>
      <c r="N23" s="517"/>
      <c r="O23" s="517"/>
      <c r="P23" s="518"/>
      <c r="Q23" s="50"/>
      <c r="R23" s="125"/>
      <c r="S23" s="79"/>
      <c r="T23" s="111"/>
      <c r="U23" s="48"/>
      <c r="V23" s="48"/>
      <c r="W23" s="48"/>
      <c r="X23" s="48"/>
      <c r="Y23" s="48"/>
      <c r="Z23" s="48"/>
      <c r="AA23" s="48"/>
      <c r="AB23" s="48"/>
      <c r="AC23" s="48"/>
      <c r="AD23" s="48"/>
      <c r="AE23" s="48"/>
      <c r="AF23" s="48"/>
      <c r="AG23" s="48"/>
      <c r="AH23" s="48"/>
      <c r="AI23" s="48"/>
      <c r="AJ23" s="48"/>
    </row>
    <row r="24" spans="1:36" ht="15.75">
      <c r="A24" s="50"/>
      <c r="B24" s="110"/>
      <c r="C24" s="105" t="s">
        <v>411</v>
      </c>
      <c r="D24" s="37">
        <f>IF('Ángulo de Inclinación'!$O$24=2,'Ángulo de Inclinación'!#REF!,Consumos!$F$46)</f>
        <v>220</v>
      </c>
      <c r="E24" s="28">
        <f>Protection!D22</f>
        <v>6.2624999999999993</v>
      </c>
      <c r="F24" s="199">
        <v>8</v>
      </c>
      <c r="G24" s="200">
        <v>1.5</v>
      </c>
      <c r="H24" s="60">
        <f>IF(G24=0,"",(200*0.0178*F24*E24)/(G24*D24))</f>
        <v>0.54047272727272722</v>
      </c>
      <c r="I24" s="207">
        <v>10</v>
      </c>
      <c r="J24" s="60">
        <f>IF(I24=0,0,(200*0.0178*E24*F24)/(I24*D24))</f>
        <v>8.1070909090909082E-2</v>
      </c>
      <c r="K24" s="199">
        <v>49</v>
      </c>
      <c r="L24" s="210">
        <v>1</v>
      </c>
      <c r="M24" s="200">
        <v>1</v>
      </c>
      <c r="N24" s="60">
        <f>K24*L24*M24</f>
        <v>49</v>
      </c>
      <c r="O24" s="60" t="str">
        <f>IF(OR(N24&lt;Protection!I22,N24&lt;Protection!J22),"sección incorrecta","sección correcta")</f>
        <v>sección correcta</v>
      </c>
      <c r="P24" s="60" t="str">
        <f>IF(N24&lt;=E24,"sección incorrecta","sección correcta")</f>
        <v>sección correcta</v>
      </c>
      <c r="Q24" s="50"/>
      <c r="R24" s="79"/>
      <c r="S24" s="79"/>
      <c r="T24" s="111"/>
      <c r="U24" s="48"/>
      <c r="V24" s="48"/>
      <c r="W24" s="48"/>
      <c r="X24" s="48"/>
      <c r="Y24" s="48"/>
      <c r="Z24" s="48"/>
      <c r="AA24" s="48"/>
      <c r="AB24" s="48"/>
      <c r="AC24" s="48"/>
      <c r="AD24" s="48"/>
      <c r="AE24" s="48"/>
      <c r="AF24" s="48"/>
      <c r="AG24" s="48"/>
      <c r="AH24" s="48"/>
      <c r="AI24" s="48"/>
      <c r="AJ24" s="48"/>
    </row>
    <row r="25" spans="1:36" ht="15.75">
      <c r="A25" s="50"/>
      <c r="B25" s="110"/>
      <c r="C25" s="105" t="s">
        <v>58</v>
      </c>
      <c r="D25" s="37">
        <f>IF('Ángulo de Inclinación'!$O$24=2,'Ángulo de Inclinación'!#REF!,Consumos!$F$46)</f>
        <v>220</v>
      </c>
      <c r="E25" s="28">
        <f>Protection!D27</f>
        <v>1.4430818181818181</v>
      </c>
      <c r="F25" s="201"/>
      <c r="G25" s="202"/>
      <c r="H25" s="60" t="str">
        <f>IF(G25=0,"",(200*0.0178*F25*E25)/(G25*D25))</f>
        <v/>
      </c>
      <c r="I25" s="208"/>
      <c r="J25" s="60">
        <f t="shared" ref="J25:J29" si="0">IF(I25=0,0,(200*0.0178*E25*F25)/(I25*D25))</f>
        <v>0</v>
      </c>
      <c r="K25" s="211"/>
      <c r="L25" s="210"/>
      <c r="M25" s="200"/>
      <c r="N25" s="60">
        <f>K25*L25*M25</f>
        <v>0</v>
      </c>
      <c r="O25" s="60" t="str">
        <f>IF(OR(N25&lt;Protection!I27,N25&lt;Protection!J27),"sección incorrecta","sección correcta")</f>
        <v>sección correcta</v>
      </c>
      <c r="P25" s="60" t="str">
        <f>IF(N25&lt;=E25,"sección incorrecta","sección correcta")</f>
        <v>sección incorrecta</v>
      </c>
      <c r="Q25" s="50"/>
      <c r="R25" s="79"/>
      <c r="S25" s="79"/>
      <c r="T25" s="111"/>
      <c r="U25" s="48"/>
      <c r="V25" s="48"/>
      <c r="W25" s="48"/>
      <c r="X25" s="48"/>
      <c r="Y25" s="48"/>
      <c r="Z25" s="48"/>
      <c r="AA25" s="48"/>
      <c r="AB25" s="48"/>
      <c r="AC25" s="48"/>
      <c r="AD25" s="48"/>
      <c r="AE25" s="48"/>
      <c r="AF25" s="48"/>
      <c r="AG25" s="48"/>
      <c r="AH25" s="48"/>
      <c r="AI25" s="48"/>
      <c r="AJ25" s="48"/>
    </row>
    <row r="26" spans="1:36" ht="15.75">
      <c r="A26" s="50"/>
      <c r="B26" s="110"/>
      <c r="C26" s="105" t="s">
        <v>412</v>
      </c>
      <c r="D26" s="37">
        <f>IF('Ángulo de Inclinación'!$O$24=2,'Ángulo de Inclinación'!#REF!,Consumos!$F$46)</f>
        <v>220</v>
      </c>
      <c r="E26" s="28">
        <f>IF(Consumos!K24=0,0,'Adaptador de potencia'!H29/'Adaptador de potencia'!H26)</f>
        <v>208.33333333333334</v>
      </c>
      <c r="F26" s="201">
        <v>2</v>
      </c>
      <c r="G26" s="203">
        <v>1.5</v>
      </c>
      <c r="H26" s="60">
        <f>IF(G26=0,"",(200*0.0178*F26*E26)/(G26*D26))</f>
        <v>4.4949494949494957</v>
      </c>
      <c r="I26" s="208">
        <v>50</v>
      </c>
      <c r="J26" s="60">
        <f t="shared" si="0"/>
        <v>0.13484848484848486</v>
      </c>
      <c r="K26" s="201">
        <v>130</v>
      </c>
      <c r="L26" s="212">
        <v>1</v>
      </c>
      <c r="M26" s="203">
        <v>1</v>
      </c>
      <c r="N26" s="60">
        <f>K26*L26*M26</f>
        <v>130</v>
      </c>
      <c r="O26" s="60" t="str">
        <f>IF(OR(N26&lt;Protection!I32,N26&lt;Protection!J32),"sección incorrecta","sección correcta")</f>
        <v>sección correcta</v>
      </c>
      <c r="P26" s="60" t="str">
        <f>IF(N26&lt;=E26,"sección incorrecta","sección correcta")</f>
        <v>sección incorrecta</v>
      </c>
      <c r="Q26" s="50"/>
      <c r="R26" s="79"/>
      <c r="S26" s="79"/>
      <c r="T26" s="111"/>
      <c r="U26" s="48"/>
      <c r="V26" s="48"/>
      <c r="W26" s="48"/>
      <c r="X26" s="48"/>
      <c r="Y26" s="48"/>
      <c r="Z26" s="48"/>
      <c r="AA26" s="48"/>
      <c r="AB26" s="48"/>
      <c r="AC26" s="48"/>
      <c r="AD26" s="48"/>
      <c r="AE26" s="48"/>
      <c r="AF26" s="48"/>
      <c r="AG26" s="48"/>
      <c r="AH26" s="48"/>
      <c r="AI26" s="48"/>
      <c r="AJ26" s="48"/>
    </row>
    <row r="27" spans="1:36" ht="15.75">
      <c r="A27" s="50"/>
      <c r="B27" s="110"/>
      <c r="C27" s="105" t="s">
        <v>413</v>
      </c>
      <c r="D27" s="37">
        <f>IF('Ángulo de Inclinación'!$O$24=2,'Ángulo de Inclinación'!#REF!,Consumos!$F$46)</f>
        <v>220</v>
      </c>
      <c r="E27" s="28">
        <f>E24*0.96</f>
        <v>6.0119999999999987</v>
      </c>
      <c r="F27" s="204">
        <v>6</v>
      </c>
      <c r="G27" s="202">
        <v>1.5</v>
      </c>
      <c r="H27" s="60">
        <f>IF(G27=0,"",(200*0.0178*F27*E27)/(G27*D27))</f>
        <v>0.38914036363636351</v>
      </c>
      <c r="I27" s="209">
        <v>10</v>
      </c>
      <c r="J27" s="60">
        <f t="shared" si="0"/>
        <v>5.8371054545454541E-2</v>
      </c>
      <c r="K27" s="213">
        <v>49</v>
      </c>
      <c r="L27" s="214">
        <v>1</v>
      </c>
      <c r="M27" s="202">
        <v>1</v>
      </c>
      <c r="N27" s="60">
        <f>K27*L27*M27</f>
        <v>49</v>
      </c>
      <c r="O27" s="60" t="str">
        <f>IF(OR(N27&lt;Protection!I22,N27&lt;Protection!J22),"sección incorrecta","sección correcta")</f>
        <v>sección correcta</v>
      </c>
      <c r="P27" s="60" t="str">
        <f>IF(N27&lt;=E27,"sección incorrecta","sección correcta")</f>
        <v>sección correcta</v>
      </c>
      <c r="Q27" s="50"/>
      <c r="R27" s="79"/>
      <c r="S27" s="79"/>
      <c r="T27" s="111"/>
      <c r="U27" s="48"/>
      <c r="V27" s="48"/>
      <c r="W27" s="48"/>
      <c r="X27" s="48"/>
      <c r="Y27" s="48"/>
      <c r="Z27" s="48"/>
      <c r="AA27" s="48"/>
      <c r="AB27" s="48"/>
      <c r="AC27" s="48"/>
      <c r="AD27" s="48"/>
      <c r="AE27" s="48"/>
      <c r="AF27" s="48"/>
      <c r="AG27" s="48"/>
      <c r="AH27" s="48"/>
      <c r="AI27" s="48"/>
      <c r="AJ27" s="48"/>
    </row>
    <row r="28" spans="1:36" ht="15">
      <c r="A28" s="50"/>
      <c r="B28" s="110"/>
      <c r="C28" s="516" t="s">
        <v>414</v>
      </c>
      <c r="D28" s="517"/>
      <c r="E28" s="517"/>
      <c r="F28" s="517"/>
      <c r="G28" s="517"/>
      <c r="H28" s="517"/>
      <c r="I28" s="517"/>
      <c r="J28" s="517"/>
      <c r="K28" s="517"/>
      <c r="L28" s="517"/>
      <c r="M28" s="517"/>
      <c r="N28" s="517"/>
      <c r="O28" s="517"/>
      <c r="P28" s="518"/>
      <c r="Q28" s="50"/>
      <c r="R28" s="79"/>
      <c r="S28" s="79"/>
      <c r="T28" s="111"/>
      <c r="U28" s="48"/>
      <c r="V28" s="48"/>
      <c r="W28" s="48"/>
      <c r="X28" s="48"/>
      <c r="Y28" s="48"/>
      <c r="Z28" s="48"/>
      <c r="AA28" s="48"/>
      <c r="AB28" s="48"/>
      <c r="AC28" s="48"/>
      <c r="AD28" s="48"/>
      <c r="AE28" s="48"/>
      <c r="AF28" s="48"/>
      <c r="AG28" s="48"/>
      <c r="AH28" s="48"/>
      <c r="AI28" s="48"/>
      <c r="AJ28" s="48"/>
    </row>
    <row r="29" spans="1:36" ht="15.75">
      <c r="A29" s="50"/>
      <c r="B29" s="110"/>
      <c r="C29" s="105" t="s">
        <v>415</v>
      </c>
      <c r="D29" s="37">
        <f>Protection!E37</f>
        <v>230</v>
      </c>
      <c r="E29" s="28">
        <f>Protection!D37</f>
        <v>17.065782608695656</v>
      </c>
      <c r="F29" s="205">
        <v>50</v>
      </c>
      <c r="G29" s="206">
        <v>2</v>
      </c>
      <c r="H29" s="60">
        <f>IF(G29=0,"",(200*0.0178*F29*E29)/(G29*D29))</f>
        <v>6.6037158790170141</v>
      </c>
      <c r="I29" s="215">
        <v>10</v>
      </c>
      <c r="J29" s="60">
        <f t="shared" si="0"/>
        <v>1.3207431758034029</v>
      </c>
      <c r="K29" s="205">
        <v>50</v>
      </c>
      <c r="L29" s="216">
        <v>1</v>
      </c>
      <c r="M29" s="206">
        <v>1</v>
      </c>
      <c r="N29" s="60">
        <f>K29*L29*M29</f>
        <v>50</v>
      </c>
      <c r="O29" s="60" t="str">
        <f>IF(OR(N29&lt;Protection!I37,N29&lt;Protection!J37),"sección incorrecta","sección correcta")</f>
        <v>sección correcta</v>
      </c>
      <c r="P29" s="60" t="str">
        <f>IF(N29&lt;=E29,"sección incorrecta","sección correcta")</f>
        <v>sección correcta</v>
      </c>
      <c r="Q29" s="50"/>
      <c r="R29" s="79"/>
      <c r="S29" s="79"/>
      <c r="T29" s="111"/>
      <c r="U29" s="48"/>
      <c r="V29" s="48"/>
      <c r="W29" s="48"/>
      <c r="X29" s="48"/>
      <c r="Y29" s="48"/>
      <c r="Z29" s="48"/>
      <c r="AA29" s="48"/>
      <c r="AB29" s="48"/>
      <c r="AC29" s="48"/>
      <c r="AD29" s="48"/>
      <c r="AE29" s="48"/>
      <c r="AF29" s="48"/>
      <c r="AG29" s="48"/>
      <c r="AH29" s="48"/>
      <c r="AI29" s="48"/>
      <c r="AJ29" s="48"/>
    </row>
    <row r="30" spans="1:36" ht="15">
      <c r="A30" s="50"/>
      <c r="B30" s="110"/>
      <c r="C30" s="516" t="s">
        <v>416</v>
      </c>
      <c r="D30" s="517"/>
      <c r="E30" s="517"/>
      <c r="F30" s="517"/>
      <c r="G30" s="517"/>
      <c r="H30" s="517"/>
      <c r="I30" s="517"/>
      <c r="J30" s="517"/>
      <c r="K30" s="517"/>
      <c r="L30" s="517"/>
      <c r="M30" s="517"/>
      <c r="N30" s="517"/>
      <c r="O30" s="517"/>
      <c r="P30" s="518"/>
      <c r="Q30" s="50"/>
      <c r="R30" s="79"/>
      <c r="S30" s="79"/>
      <c r="T30" s="111"/>
      <c r="U30" s="48"/>
      <c r="V30" s="48"/>
      <c r="W30" s="48"/>
      <c r="X30" s="48"/>
      <c r="Y30" s="48"/>
      <c r="Z30" s="48"/>
      <c r="AA30" s="48"/>
      <c r="AB30" s="48"/>
      <c r="AC30" s="48"/>
      <c r="AD30" s="48"/>
      <c r="AE30" s="48"/>
      <c r="AF30" s="48"/>
      <c r="AG30" s="48"/>
      <c r="AH30" s="48"/>
      <c r="AI30" s="48"/>
      <c r="AJ30" s="48"/>
    </row>
    <row r="31" spans="1:36" ht="15.75">
      <c r="A31" s="50"/>
      <c r="B31" s="110"/>
      <c r="C31" s="105"/>
      <c r="D31" s="211"/>
      <c r="E31" s="210"/>
      <c r="F31" s="210"/>
      <c r="G31" s="200"/>
      <c r="H31" s="60" t="str">
        <f>IF(G31=0,"",(200*0.0178*F31*E31)/(G31*D31))</f>
        <v/>
      </c>
      <c r="I31" s="207"/>
      <c r="J31" s="60">
        <v>1</v>
      </c>
      <c r="K31" s="199"/>
      <c r="L31" s="210"/>
      <c r="M31" s="200"/>
      <c r="N31" s="60">
        <f>K31*L31*M31</f>
        <v>0</v>
      </c>
      <c r="O31" s="60" t="str">
        <f>IF(OR(N31&lt;Protection!I42,N31&lt;Protection!J42),"sección incorrecta","sección correcta")</f>
        <v>sección incorrecta</v>
      </c>
      <c r="P31" s="60" t="str">
        <f>IF(N31&lt;=E31,"sección incorrecta","sección correcta")</f>
        <v>sección incorrecta</v>
      </c>
      <c r="Q31" s="50"/>
      <c r="R31" s="79"/>
      <c r="S31" s="79"/>
      <c r="T31" s="111"/>
      <c r="U31" s="48"/>
      <c r="V31" s="48"/>
      <c r="W31" s="48"/>
      <c r="X31" s="48"/>
      <c r="Y31" s="48"/>
      <c r="Z31" s="48"/>
      <c r="AA31" s="48"/>
      <c r="AB31" s="48"/>
      <c r="AC31" s="48"/>
      <c r="AD31" s="48"/>
      <c r="AE31" s="48"/>
      <c r="AF31" s="48"/>
      <c r="AG31" s="48"/>
      <c r="AH31" s="48"/>
      <c r="AI31" s="48"/>
      <c r="AJ31" s="48"/>
    </row>
    <row r="32" spans="1:36" ht="15.75">
      <c r="A32" s="50"/>
      <c r="B32" s="110"/>
      <c r="C32" s="105"/>
      <c r="D32" s="201"/>
      <c r="E32" s="212"/>
      <c r="F32" s="212"/>
      <c r="G32" s="203"/>
      <c r="H32" s="60" t="str">
        <f>IF(G32=0,"",(200*0.0178*F32*E32)/(G32*D32))</f>
        <v/>
      </c>
      <c r="I32" s="208"/>
      <c r="J32" s="60" t="str">
        <f>IF(I32=0,"",(200*0.0178*E32*F32)/(I32*D32))</f>
        <v/>
      </c>
      <c r="K32" s="211"/>
      <c r="L32" s="210"/>
      <c r="M32" s="200"/>
      <c r="N32" s="60">
        <f>K32*L32*M32</f>
        <v>0</v>
      </c>
      <c r="O32" s="60" t="str">
        <f>IF(OR(N32&lt;Protection!I45,N32&lt;Protection!J48),"sección incorrecta","sección correcta")</f>
        <v>sección correcta</v>
      </c>
      <c r="P32" s="60" t="str">
        <f>IF(N32&lt;=E32,"sección incorrecta","sección correcta")</f>
        <v>sección incorrecta</v>
      </c>
      <c r="Q32" s="50"/>
      <c r="R32" s="79"/>
      <c r="S32" s="79"/>
      <c r="T32" s="111"/>
      <c r="U32" s="48"/>
      <c r="V32" s="48"/>
      <c r="W32" s="48"/>
      <c r="X32" s="48"/>
      <c r="Y32" s="48"/>
      <c r="Z32" s="48"/>
      <c r="AA32" s="48"/>
      <c r="AB32" s="48"/>
      <c r="AC32" s="48"/>
      <c r="AD32" s="48"/>
      <c r="AE32" s="48"/>
      <c r="AF32" s="48"/>
      <c r="AG32" s="48"/>
      <c r="AH32" s="48"/>
      <c r="AI32" s="48"/>
      <c r="AJ32" s="48"/>
    </row>
    <row r="33" spans="1:36" ht="15.75">
      <c r="A33" s="50"/>
      <c r="B33" s="110"/>
      <c r="C33" s="105"/>
      <c r="D33" s="201"/>
      <c r="E33" s="212"/>
      <c r="F33" s="212"/>
      <c r="G33" s="203"/>
      <c r="H33" s="60" t="str">
        <f>IF(G33=0,"",(200*0.0178*F33*E33)/(G33*D33))</f>
        <v/>
      </c>
      <c r="I33" s="208"/>
      <c r="J33" s="60" t="str">
        <f>IF(I33=0,"",(200*0.0178*E33*F33)/(I33*D33))</f>
        <v/>
      </c>
      <c r="K33" s="201"/>
      <c r="L33" s="212"/>
      <c r="M33" s="203"/>
      <c r="N33" s="60">
        <f>K33*L33*M33</f>
        <v>0</v>
      </c>
      <c r="O33" s="60" t="str">
        <f>IF(OR(N33&lt;Protection!I48,N33&lt;Protection!J48),"sección incorrecta","sección correcta")</f>
        <v>sección correcta</v>
      </c>
      <c r="P33" s="60" t="str">
        <f>IF(N33&lt;=E33,"sección incorrecta","sección correcta")</f>
        <v>sección incorrecta</v>
      </c>
      <c r="Q33" s="50"/>
      <c r="R33" s="79"/>
      <c r="S33" s="79"/>
      <c r="T33" s="111"/>
      <c r="U33" s="48"/>
      <c r="V33" s="48"/>
      <c r="W33" s="48"/>
      <c r="X33" s="48"/>
      <c r="Y33" s="48"/>
      <c r="Z33" s="48"/>
      <c r="AA33" s="48"/>
      <c r="AB33" s="48"/>
      <c r="AC33" s="48"/>
      <c r="AD33" s="48"/>
      <c r="AE33" s="48"/>
      <c r="AF33" s="48"/>
      <c r="AG33" s="48"/>
      <c r="AH33" s="48"/>
      <c r="AI33" s="48"/>
      <c r="AJ33" s="48"/>
    </row>
    <row r="34" spans="1:36" ht="15.75">
      <c r="A34" s="50"/>
      <c r="B34" s="110"/>
      <c r="C34" s="105"/>
      <c r="D34" s="213"/>
      <c r="E34" s="214"/>
      <c r="F34" s="214"/>
      <c r="G34" s="202"/>
      <c r="H34" s="60" t="str">
        <f>IF(G34=0,"",(200*0.0178*F34*E34)/(G34*D34))</f>
        <v/>
      </c>
      <c r="I34" s="209"/>
      <c r="J34" s="60" t="str">
        <f>IF(I34=0,"",(200*0.0178*E34*F34)/(I34*D34))</f>
        <v/>
      </c>
      <c r="K34" s="213"/>
      <c r="L34" s="214"/>
      <c r="M34" s="202"/>
      <c r="N34" s="60">
        <f>K34*L34*M34</f>
        <v>0</v>
      </c>
      <c r="O34" s="60" t="str">
        <f>IF(OR(N34&lt;Protection!I51,N34&lt;Protection!J51),"sección incorrecta","sección correcta")</f>
        <v>sección correcta</v>
      </c>
      <c r="P34" s="60" t="str">
        <f>IF(N34&lt;=E34,"sección incorrecta","sección correcta")</f>
        <v>sección incorrecta</v>
      </c>
      <c r="Q34" s="50"/>
      <c r="R34" s="79"/>
      <c r="S34" s="79"/>
      <c r="T34" s="111"/>
      <c r="U34" s="48"/>
      <c r="V34" s="48"/>
      <c r="W34" s="48"/>
      <c r="X34" s="48"/>
      <c r="Y34" s="48"/>
      <c r="Z34" s="48"/>
      <c r="AA34" s="48"/>
      <c r="AB34" s="48"/>
      <c r="AC34" s="48"/>
      <c r="AD34" s="48"/>
      <c r="AE34" s="48"/>
      <c r="AF34" s="48"/>
      <c r="AG34" s="48"/>
      <c r="AH34" s="48"/>
      <c r="AI34" s="48"/>
      <c r="AJ34" s="48"/>
    </row>
    <row r="35" spans="1:36" ht="15">
      <c r="A35" s="50"/>
      <c r="B35" s="110"/>
      <c r="C35" s="516"/>
      <c r="D35" s="517"/>
      <c r="E35" s="517"/>
      <c r="F35" s="517"/>
      <c r="G35" s="517"/>
      <c r="H35" s="517"/>
      <c r="I35" s="517"/>
      <c r="J35" s="517"/>
      <c r="K35" s="517"/>
      <c r="L35" s="517"/>
      <c r="M35" s="517"/>
      <c r="N35" s="517"/>
      <c r="O35" s="517"/>
      <c r="P35" s="518"/>
      <c r="Q35" s="50"/>
      <c r="R35" s="50"/>
      <c r="S35" s="50"/>
      <c r="T35" s="111"/>
      <c r="U35" s="48"/>
      <c r="V35" s="48"/>
      <c r="W35" s="48"/>
      <c r="X35" s="48"/>
      <c r="Y35" s="48"/>
      <c r="Z35" s="48"/>
      <c r="AA35" s="48"/>
      <c r="AB35" s="48"/>
      <c r="AC35" s="48"/>
      <c r="AD35" s="48"/>
      <c r="AE35" s="48"/>
      <c r="AF35" s="48"/>
      <c r="AG35" s="48"/>
      <c r="AH35" s="48"/>
      <c r="AI35" s="48"/>
      <c r="AJ35" s="48"/>
    </row>
    <row r="36" spans="1:36" ht="15">
      <c r="A36" s="50"/>
      <c r="B36" s="110"/>
      <c r="C36" s="514" t="s">
        <v>396</v>
      </c>
      <c r="D36" s="522" t="s">
        <v>398</v>
      </c>
      <c r="E36" s="520"/>
      <c r="F36" s="520"/>
      <c r="G36" s="523"/>
      <c r="H36" s="519" t="s">
        <v>399</v>
      </c>
      <c r="I36" s="520"/>
      <c r="J36" s="520"/>
      <c r="K36" s="520"/>
      <c r="L36" s="520"/>
      <c r="M36" s="520"/>
      <c r="N36" s="520"/>
      <c r="O36" s="520"/>
      <c r="P36" s="520"/>
      <c r="Q36" s="50"/>
      <c r="R36" s="50"/>
      <c r="S36" s="50"/>
      <c r="T36" s="111"/>
      <c r="U36" s="48"/>
      <c r="V36" s="48"/>
      <c r="W36" s="48"/>
      <c r="X36" s="48"/>
      <c r="Y36" s="48"/>
      <c r="Z36" s="48"/>
      <c r="AA36" s="48"/>
      <c r="AB36" s="48"/>
      <c r="AC36" s="48"/>
      <c r="AD36" s="48"/>
      <c r="AE36" s="48"/>
      <c r="AF36" s="48"/>
      <c r="AG36" s="48"/>
      <c r="AH36" s="48"/>
      <c r="AI36" s="48"/>
      <c r="AJ36" s="48"/>
    </row>
    <row r="37" spans="1:36" ht="15">
      <c r="A37" s="50"/>
      <c r="B37" s="110"/>
      <c r="C37" s="514"/>
      <c r="D37" s="515"/>
      <c r="E37" s="515"/>
      <c r="F37" s="515"/>
      <c r="G37" s="515"/>
      <c r="H37" s="521"/>
      <c r="I37" s="521"/>
      <c r="J37" s="521"/>
      <c r="K37" s="521"/>
      <c r="L37" s="521"/>
      <c r="M37" s="521"/>
      <c r="N37" s="521"/>
      <c r="O37" s="521"/>
      <c r="P37" s="521"/>
      <c r="Q37" s="50"/>
      <c r="R37" s="50"/>
      <c r="S37" s="50"/>
      <c r="T37" s="111"/>
      <c r="U37" s="48"/>
      <c r="V37" s="48"/>
      <c r="W37" s="48"/>
      <c r="X37" s="48"/>
      <c r="Y37" s="48"/>
      <c r="Z37" s="48"/>
      <c r="AA37" s="48"/>
      <c r="AB37" s="48"/>
      <c r="AC37" s="48"/>
      <c r="AD37" s="48"/>
      <c r="AE37" s="48"/>
      <c r="AF37" s="48"/>
      <c r="AG37" s="48"/>
      <c r="AH37" s="48"/>
      <c r="AI37" s="48"/>
      <c r="AJ37" s="48"/>
    </row>
    <row r="38" spans="1:36" ht="15">
      <c r="A38" s="50"/>
      <c r="B38" s="110"/>
      <c r="C38" s="514" t="s">
        <v>397</v>
      </c>
      <c r="D38" s="515"/>
      <c r="E38" s="515"/>
      <c r="F38" s="515"/>
      <c r="G38" s="515"/>
      <c r="H38" s="515"/>
      <c r="I38" s="515"/>
      <c r="J38" s="515"/>
      <c r="K38" s="515"/>
      <c r="L38" s="515"/>
      <c r="M38" s="515"/>
      <c r="N38" s="515"/>
      <c r="O38" s="515"/>
      <c r="P38" s="515"/>
      <c r="Q38" s="50"/>
      <c r="R38" s="50"/>
      <c r="S38" s="50"/>
      <c r="T38" s="111"/>
      <c r="U38" s="48"/>
      <c r="V38" s="48"/>
      <c r="W38" s="48"/>
      <c r="X38" s="48"/>
      <c r="Y38" s="48"/>
      <c r="Z38" s="48"/>
      <c r="AA38" s="48"/>
      <c r="AB38" s="48"/>
      <c r="AC38" s="48"/>
      <c r="AD38" s="48"/>
      <c r="AE38" s="48"/>
      <c r="AF38" s="48"/>
      <c r="AG38" s="48"/>
      <c r="AH38" s="48"/>
      <c r="AI38" s="48"/>
      <c r="AJ38" s="48"/>
    </row>
    <row r="39" spans="1:36" ht="15">
      <c r="A39" s="50"/>
      <c r="B39" s="113"/>
      <c r="C39" s="514"/>
      <c r="D39" s="515"/>
      <c r="E39" s="515"/>
      <c r="F39" s="515"/>
      <c r="G39" s="515"/>
      <c r="H39" s="515"/>
      <c r="I39" s="515"/>
      <c r="J39" s="515"/>
      <c r="K39" s="515"/>
      <c r="L39" s="515"/>
      <c r="M39" s="515"/>
      <c r="N39" s="515"/>
      <c r="O39" s="515"/>
      <c r="P39" s="515"/>
      <c r="Q39" s="50"/>
      <c r="R39" s="50"/>
      <c r="S39" s="50"/>
      <c r="T39" s="111"/>
      <c r="U39" s="48"/>
      <c r="V39" s="48"/>
      <c r="W39" s="48"/>
      <c r="X39" s="48"/>
      <c r="Y39" s="48"/>
      <c r="Z39" s="48"/>
      <c r="AA39" s="48"/>
      <c r="AB39" s="48"/>
      <c r="AC39" s="48"/>
      <c r="AD39" s="48"/>
      <c r="AE39" s="48"/>
      <c r="AF39" s="48"/>
      <c r="AG39" s="48"/>
      <c r="AH39" s="48"/>
      <c r="AI39" s="48"/>
      <c r="AJ39" s="48"/>
    </row>
    <row r="40" spans="1:36">
      <c r="A40" s="50"/>
      <c r="B40" s="113"/>
      <c r="C40" s="50"/>
      <c r="D40" s="50"/>
      <c r="E40" s="50"/>
      <c r="F40" s="50"/>
      <c r="G40" s="50"/>
      <c r="H40" s="50"/>
      <c r="I40" s="50"/>
      <c r="J40" s="50"/>
      <c r="K40" s="50"/>
      <c r="L40" s="50"/>
      <c r="M40" s="50"/>
      <c r="N40" s="50"/>
      <c r="O40" s="50"/>
      <c r="P40" s="50"/>
      <c r="Q40" s="50"/>
      <c r="R40" s="50"/>
      <c r="S40" s="50"/>
      <c r="T40" s="111"/>
      <c r="U40" s="48"/>
      <c r="V40" s="48"/>
      <c r="W40" s="48"/>
      <c r="X40" s="48"/>
      <c r="Y40" s="48"/>
      <c r="Z40" s="48"/>
      <c r="AA40" s="48"/>
      <c r="AB40" s="48"/>
      <c r="AC40" s="48"/>
      <c r="AD40" s="48"/>
      <c r="AE40" s="48"/>
      <c r="AF40" s="48"/>
      <c r="AG40" s="48"/>
      <c r="AH40" s="48"/>
      <c r="AI40" s="48"/>
      <c r="AJ40" s="48"/>
    </row>
    <row r="41" spans="1:36">
      <c r="A41" s="50"/>
      <c r="B41" s="114"/>
      <c r="C41" s="115"/>
      <c r="D41" s="115"/>
      <c r="E41" s="115"/>
      <c r="F41" s="115"/>
      <c r="G41" s="115"/>
      <c r="H41" s="115"/>
      <c r="I41" s="115"/>
      <c r="J41" s="115"/>
      <c r="K41" s="115"/>
      <c r="L41" s="115"/>
      <c r="M41" s="115"/>
      <c r="N41" s="115"/>
      <c r="O41" s="115"/>
      <c r="P41" s="115"/>
      <c r="Q41" s="115"/>
      <c r="R41" s="115"/>
      <c r="S41" s="115"/>
      <c r="T41" s="116"/>
      <c r="U41" s="48"/>
      <c r="V41" s="48"/>
      <c r="W41" s="48"/>
      <c r="X41" s="48"/>
      <c r="Y41" s="48"/>
      <c r="Z41" s="48"/>
      <c r="AA41" s="48"/>
      <c r="AB41" s="48"/>
      <c r="AC41" s="48"/>
      <c r="AD41" s="48"/>
      <c r="AE41" s="48"/>
      <c r="AF41" s="48"/>
      <c r="AG41" s="48"/>
      <c r="AH41" s="48"/>
      <c r="AI41" s="48"/>
      <c r="AJ41" s="48"/>
    </row>
    <row r="42" spans="1:36">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row>
    <row r="43" spans="1:36">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row>
    <row r="44" spans="1:36">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row>
    <row r="45" spans="1:36">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row>
    <row r="46" spans="1:36">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row>
    <row r="47" spans="1:36">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row>
    <row r="48" spans="1:36">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1:36">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row>
    <row r="50" spans="1:36">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row>
    <row r="51" spans="1:36">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row>
    <row r="52" spans="1:36">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row>
    <row r="53" spans="1:36">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row>
    <row r="54" spans="1:36">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row>
    <row r="55" spans="1:36">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row>
    <row r="56" spans="1:36">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row>
    <row r="57" spans="1:36">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row>
    <row r="58" spans="1:36">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row>
    <row r="59" spans="1:36">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row>
    <row r="60" spans="1:36">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1:36">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1:36">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row>
    <row r="63" spans="1:36">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row>
    <row r="64" spans="1:36">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row>
    <row r="65" spans="1:36">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row>
    <row r="66" spans="1:36">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row>
    <row r="67" spans="1:36">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row>
    <row r="68" spans="1:36">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row>
    <row r="69" spans="1:36">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row>
    <row r="70" spans="1:36">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row>
    <row r="71" spans="1:36">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row>
    <row r="72" spans="1:36">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row>
    <row r="73" spans="1:36">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row>
    <row r="74" spans="1:36">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row>
    <row r="75" spans="1:36">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row>
    <row r="76" spans="1:36">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row>
    <row r="77" spans="1:36">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row>
    <row r="78" spans="1:36">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sheetData>
  <mergeCells count="5">
    <mergeCell ref="D16:F16"/>
    <mergeCell ref="D18:F18"/>
    <mergeCell ref="J16:L16"/>
    <mergeCell ref="J18:L18"/>
    <mergeCell ref="C20:P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info page</vt:lpstr>
      <vt:lpstr>Consumos</vt:lpstr>
      <vt:lpstr>Ángulo de Inclinación</vt:lpstr>
      <vt:lpstr>Baterías</vt:lpstr>
      <vt:lpstr>PV</vt:lpstr>
      <vt:lpstr>Regulador de carga</vt:lpstr>
      <vt:lpstr>Adaptador de potencia</vt:lpstr>
      <vt:lpstr>Protection</vt:lpstr>
      <vt:lpstr>Cableado</vt:lpstr>
      <vt:lpstr>Config híbridas</vt:lpstr>
      <vt:lpstr>Radiación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Bullejos</dc:creator>
  <cp:lastModifiedBy>User</cp:lastModifiedBy>
  <cp:lastPrinted>2009-09-25T16:32:09Z</cp:lastPrinted>
  <dcterms:created xsi:type="dcterms:W3CDTF">2003-08-09T09:33:43Z</dcterms:created>
  <dcterms:modified xsi:type="dcterms:W3CDTF">2019-07-02T13:03:04Z</dcterms:modified>
</cp:coreProperties>
</file>