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32767" yWindow="32767" windowWidth="16410" windowHeight="7395" tabRatio="718" activeTab="4"/>
  </bookViews>
  <sheets>
    <sheet name="resume" sheetId="1" r:id="rId1"/>
    <sheet name="input" sheetId="2" r:id="rId2"/>
    <sheet name="result" sheetId="3" r:id="rId3"/>
    <sheet name="Environmental balance" sheetId="4" r:id="rId4"/>
    <sheet name="Report" sheetId="5" r:id="rId5"/>
  </sheets>
  <externalReferences>
    <externalReference r:id="rId8"/>
  </externalReferences>
  <definedNames>
    <definedName name="_ek1">#REF!</definedName>
    <definedName name="_ek2">#REF!</definedName>
    <definedName name="_ek3">#REF!</definedName>
    <definedName name="_ekn1">#REF!</definedName>
    <definedName name="_ekn2">#REF!</definedName>
    <definedName name="_ekn3">#REF!</definedName>
    <definedName name="_fkn1">#REF!</definedName>
    <definedName name="_fkn2">#REF!</definedName>
    <definedName name="_fkn3">#REF!</definedName>
    <definedName name="_is1">#REF!</definedName>
    <definedName name="_is2">#REF!</definedName>
    <definedName name="_is3">#REF!</definedName>
    <definedName name="_kp1">#REF!</definedName>
    <definedName name="_kp2">#REF!</definedName>
    <definedName name="_kp3">#REF!</definedName>
    <definedName name="afa">'result'!$H$112</definedName>
    <definedName name="_xlnm.Print_Area" localSheetId="3">'Environmental balance'!$B$3:$J$10</definedName>
    <definedName name="_xlnm.Print_Area" localSheetId="1">'input'!$A$3:$K$90</definedName>
    <definedName name="_xlnm.Print_Area" localSheetId="4">'Report'!$B$1:$R$39</definedName>
    <definedName name="_xlnm.Print_Area" localSheetId="2">'result'!$C$8:$AM$78</definedName>
    <definedName name="_xlnm.Print_Area" localSheetId="0">'resume'!$B$32:$L$68</definedName>
    <definedName name="ek">'input'!$E$49</definedName>
    <definedName name="ekn">'result'!$L$2</definedName>
    <definedName name="eu">'[1]Fin+Inv.'!$G$2</definedName>
    <definedName name="euro">'input'!$M$4</definedName>
    <definedName name="euro1">#REF!</definedName>
    <definedName name="euro2">#REF!</definedName>
    <definedName name="euro3">#REF!</definedName>
    <definedName name="fkn">'result'!$L$3</definedName>
    <definedName name="is">'input'!$E$46</definedName>
    <definedName name="kp">'input'!$E$43</definedName>
    <definedName name="Z_9C7DEAA1_83A4_460F_BFD4_E54B0E1DF810_.wvu.FilterData" localSheetId="1" hidden="1">'input'!$Q$4:$Q$9</definedName>
    <definedName name="Z_9C7DEAA1_83A4_460F_BFD4_E54B0E1DF810_.wvu.PrintArea" localSheetId="1" hidden="1">'input'!$A$3:$K$90</definedName>
    <definedName name="Z_9C7DEAA1_83A4_460F_BFD4_E54B0E1DF810_.wvu.PrintArea" localSheetId="2" hidden="1">'result'!$C$8:$AM$78</definedName>
    <definedName name="Z_9C7DEAA1_83A4_460F_BFD4_E54B0E1DF810_.wvu.Rows" localSheetId="1" hidden="1">'input'!#REF!,'input'!#REF!,'input'!#REF!</definedName>
    <definedName name="Z_9C7DEAA1_83A4_460F_BFD4_E54B0E1DF810_.wvu.Rows" localSheetId="2" hidden="1">'result'!$82:$82</definedName>
  </definedNames>
  <calcPr fullCalcOnLoad="1"/>
</workbook>
</file>

<file path=xl/comments2.xml><?xml version="1.0" encoding="utf-8"?>
<comments xmlns="http://schemas.openxmlformats.org/spreadsheetml/2006/main">
  <authors>
    <author>MM</author>
    <author>Oliver Scheld</author>
  </authors>
  <commentList>
    <comment ref="C43" authorId="0">
      <text>
        <r>
          <rPr>
            <b/>
            <sz val="8"/>
            <rFont val="Tahoma"/>
            <family val="2"/>
          </rPr>
          <t>Kaufpreis / Purchase price:</t>
        </r>
        <r>
          <rPr>
            <sz val="8"/>
            <rFont val="Tahoma"/>
            <family val="2"/>
          </rPr>
          <t xml:space="preserve">
Inkl. aller Genehmigungen und Rechte.
Inclusive permits and rights.</t>
        </r>
      </text>
    </comment>
    <comment ref="C63" authorId="0">
      <text>
        <r>
          <rPr>
            <b/>
            <sz val="8"/>
            <rFont val="Tahoma"/>
            <family val="2"/>
          </rPr>
          <t>Reparaturkosten / repair costs:</t>
        </r>
        <r>
          <rPr>
            <sz val="8"/>
            <rFont val="Tahoma"/>
            <family val="2"/>
          </rPr>
          <t xml:space="preserve">
Abhängig vom Maschinen- und Infrastrukturwert. Standard 0,5 % der Stromerlöse.
Depending from value of machine and infrastructure. Standard 0,5 % of energysales.</t>
        </r>
      </text>
    </comment>
    <comment ref="C65" authorId="0">
      <text>
        <r>
          <rPr>
            <b/>
            <sz val="8"/>
            <rFont val="Tahoma"/>
            <family val="2"/>
          </rPr>
          <t>Versicherung / Insurance:</t>
        </r>
        <r>
          <rPr>
            <sz val="8"/>
            <rFont val="Tahoma"/>
            <family val="2"/>
          </rPr>
          <t xml:space="preserve">
Standard aus UK-Rahmenvertrag (5 DM pro kW und 100 DM je Anlage)
Standard from UK-skeleton-agreement (5 DM/kW and 100 DM each Engine)</t>
        </r>
      </text>
    </comment>
    <comment ref="C67" authorId="0">
      <text>
        <r>
          <rPr>
            <b/>
            <sz val="8"/>
            <rFont val="Tahoma"/>
            <family val="2"/>
          </rPr>
          <t>Unternehmenssteuern / Taxes:</t>
        </r>
        <r>
          <rPr>
            <sz val="8"/>
            <rFont val="Tahoma"/>
            <family val="2"/>
          </rPr>
          <t xml:space="preserve">
Steuern (Kommunal- und Ertragssteuern) am Standort auf den Gewinn. Abhängig von Gesellschaftsform, Land, etc.)
Taxes which the operationg company has to pay on the site. Depends on the site country and type of company.</t>
        </r>
      </text>
    </comment>
    <comment ref="J57" authorId="0">
      <text>
        <r>
          <rPr>
            <b/>
            <sz val="8"/>
            <rFont val="Tahoma"/>
            <family val="2"/>
          </rPr>
          <t>MM:</t>
        </r>
        <r>
          <rPr>
            <sz val="8"/>
            <rFont val="Tahoma"/>
            <family val="2"/>
          </rPr>
          <t xml:space="preserve">
Standard: nein
Zulässig: ja oder nein</t>
        </r>
      </text>
    </comment>
    <comment ref="J58" authorId="0">
      <text>
        <r>
          <rPr>
            <b/>
            <sz val="8"/>
            <rFont val="Tahoma"/>
            <family val="2"/>
          </rPr>
          <t>MM:</t>
        </r>
        <r>
          <rPr>
            <sz val="8"/>
            <rFont val="Tahoma"/>
            <family val="2"/>
          </rPr>
          <t xml:space="preserve">
Standard: nein
Zulässig: ja oder nein</t>
        </r>
      </text>
    </comment>
    <comment ref="J61" authorId="0">
      <text>
        <r>
          <rPr>
            <b/>
            <sz val="8"/>
            <rFont val="Tahoma"/>
            <family val="2"/>
          </rPr>
          <t>MM:</t>
        </r>
        <r>
          <rPr>
            <sz val="8"/>
            <rFont val="Tahoma"/>
            <family val="2"/>
          </rPr>
          <t xml:space="preserve">
Standard: nein
Zulässig: ja oder nein</t>
        </r>
      </text>
    </comment>
    <comment ref="J62" authorId="0">
      <text>
        <r>
          <rPr>
            <b/>
            <sz val="8"/>
            <rFont val="Tahoma"/>
            <family val="2"/>
          </rPr>
          <t>MM:</t>
        </r>
        <r>
          <rPr>
            <sz val="8"/>
            <rFont val="Tahoma"/>
            <family val="2"/>
          </rPr>
          <t xml:space="preserve">
Standard: ja
Zulässig: ja oder nein</t>
        </r>
      </text>
    </comment>
    <comment ref="J63" authorId="0">
      <text>
        <r>
          <rPr>
            <b/>
            <sz val="8"/>
            <rFont val="Tahoma"/>
            <family val="2"/>
          </rPr>
          <t>MM:</t>
        </r>
        <r>
          <rPr>
            <sz val="8"/>
            <rFont val="Tahoma"/>
            <family val="2"/>
          </rPr>
          <t xml:space="preserve">
Standard: ja
Zulässig: ja oder nein</t>
        </r>
      </text>
    </comment>
    <comment ref="J64" authorId="0">
      <text>
        <r>
          <rPr>
            <b/>
            <sz val="8"/>
            <rFont val="Tahoma"/>
            <family val="2"/>
          </rPr>
          <t>MM:</t>
        </r>
        <r>
          <rPr>
            <sz val="8"/>
            <rFont val="Tahoma"/>
            <family val="2"/>
          </rPr>
          <t xml:space="preserve">
Standard: nein
Zulässig: ja oder nein</t>
        </r>
      </text>
    </comment>
    <comment ref="J65" authorId="0">
      <text>
        <r>
          <rPr>
            <b/>
            <sz val="8"/>
            <rFont val="Tahoma"/>
            <family val="2"/>
          </rPr>
          <t>MM:</t>
        </r>
        <r>
          <rPr>
            <sz val="8"/>
            <rFont val="Tahoma"/>
            <family val="2"/>
          </rPr>
          <t xml:space="preserve">
Standard: ja
Zulässig: ja oder nein</t>
        </r>
      </text>
    </comment>
    <comment ref="J66" authorId="0">
      <text>
        <r>
          <rPr>
            <b/>
            <sz val="8"/>
            <rFont val="Tahoma"/>
            <family val="2"/>
          </rPr>
          <t>MM:</t>
        </r>
        <r>
          <rPr>
            <sz val="8"/>
            <rFont val="Tahoma"/>
            <family val="2"/>
          </rPr>
          <t xml:space="preserve">
Standard: ja
Zulässig: ja oder nein</t>
        </r>
      </text>
    </comment>
    <comment ref="J69" authorId="0">
      <text>
        <r>
          <rPr>
            <b/>
            <sz val="8"/>
            <rFont val="Tahoma"/>
            <family val="2"/>
          </rPr>
          <t>MM:</t>
        </r>
        <r>
          <rPr>
            <sz val="8"/>
            <rFont val="Tahoma"/>
            <family val="2"/>
          </rPr>
          <t xml:space="preserve">
Standard: ja
Zulässig: ja oder nein</t>
        </r>
      </text>
    </comment>
    <comment ref="J70" authorId="0">
      <text>
        <r>
          <rPr>
            <b/>
            <sz val="8"/>
            <rFont val="Tahoma"/>
            <family val="2"/>
          </rPr>
          <t>MM:</t>
        </r>
        <r>
          <rPr>
            <sz val="8"/>
            <rFont val="Tahoma"/>
            <family val="2"/>
          </rPr>
          <t xml:space="preserve">
Standard: nein
Zulässig: ja oder nein</t>
        </r>
      </text>
    </comment>
    <comment ref="J71" authorId="0">
      <text>
        <r>
          <rPr>
            <b/>
            <sz val="8"/>
            <rFont val="Tahoma"/>
            <family val="2"/>
          </rPr>
          <t>MM:</t>
        </r>
        <r>
          <rPr>
            <sz val="8"/>
            <rFont val="Tahoma"/>
            <family val="2"/>
          </rPr>
          <t xml:space="preserve">
Standard: nein
Zulässig: ja oder nein</t>
        </r>
      </text>
    </comment>
    <comment ref="J72" authorId="0">
      <text>
        <r>
          <rPr>
            <b/>
            <sz val="8"/>
            <rFont val="Tahoma"/>
            <family val="2"/>
          </rPr>
          <t>MM:</t>
        </r>
        <r>
          <rPr>
            <sz val="8"/>
            <rFont val="Tahoma"/>
            <family val="2"/>
          </rPr>
          <t xml:space="preserve">
Standard: nein
Zulässig: ja oder nein</t>
        </r>
      </text>
    </comment>
    <comment ref="J73" authorId="0">
      <text>
        <r>
          <rPr>
            <b/>
            <sz val="8"/>
            <rFont val="Tahoma"/>
            <family val="2"/>
          </rPr>
          <t>MM:</t>
        </r>
        <r>
          <rPr>
            <sz val="8"/>
            <rFont val="Tahoma"/>
            <family val="2"/>
          </rPr>
          <t xml:space="preserve">
Standard: nein
Zulässig: ja oder nein</t>
        </r>
      </text>
    </comment>
    <comment ref="C61" authorId="0">
      <text>
        <r>
          <rPr>
            <b/>
            <sz val="8"/>
            <rFont val="Tahoma"/>
            <family val="2"/>
          </rPr>
          <t>Anlagenrückbau / site restoring:</t>
        </r>
        <r>
          <rPr>
            <sz val="8"/>
            <rFont val="Tahoma"/>
            <family val="2"/>
          </rPr>
          <t xml:space="preserve">
Standard: 25.000 € je WEA
Wenn Wiederveräusserungswert aktiviert, dann kein Anlangerückbau.
If "plant value after operation period" is activated then deactivate this value.</t>
        </r>
      </text>
    </comment>
    <comment ref="C62" authorId="0">
      <text>
        <r>
          <rPr>
            <b/>
            <sz val="8"/>
            <rFont val="Tahoma"/>
            <family val="2"/>
          </rPr>
          <t>Wartung / Maintenance:</t>
        </r>
        <r>
          <rPr>
            <sz val="8"/>
            <rFont val="Tahoma"/>
            <family val="2"/>
          </rPr>
          <t xml:space="preserve">
Standard: 4.000 - 7.000 Euro/turbine</t>
        </r>
      </text>
    </comment>
    <comment ref="C66" authorId="0">
      <text>
        <r>
          <rPr>
            <b/>
            <sz val="8"/>
            <rFont val="Tahoma"/>
            <family val="2"/>
          </rPr>
          <t>Steuerberatung / Tax advisory:</t>
        </r>
        <r>
          <rPr>
            <sz val="8"/>
            <rFont val="Tahoma"/>
            <family val="2"/>
          </rPr>
          <t xml:space="preserve">
Aus der Erfahrung ca. 1 % der Stromerlöse.
Standard: 1 % of energysales.</t>
        </r>
      </text>
    </comment>
    <comment ref="C64" authorId="0">
      <text>
        <r>
          <rPr>
            <b/>
            <sz val="8"/>
            <rFont val="Tahoma"/>
            <family val="2"/>
          </rPr>
          <t>Strombezugskosten / Current cover:</t>
        </r>
        <r>
          <rPr>
            <sz val="8"/>
            <rFont val="Tahoma"/>
            <family val="2"/>
          </rPr>
          <t xml:space="preserve">
Standard: 0,4 % der Stromerlöse.
Standard: 0,4 % of energysales.</t>
        </r>
      </text>
    </comment>
    <comment ref="C45" authorId="0">
      <text>
        <r>
          <rPr>
            <b/>
            <sz val="8"/>
            <rFont val="Tahoma"/>
            <family val="2"/>
          </rPr>
          <t>Kaufpreis / Purchase price:</t>
        </r>
        <r>
          <rPr>
            <sz val="8"/>
            <rFont val="Tahoma"/>
            <family val="2"/>
          </rPr>
          <t xml:space="preserve">
Inkl. aller Genehmigungen und Rechte.
Inclusive permits and rights.</t>
        </r>
      </text>
    </comment>
    <comment ref="J60" authorId="0">
      <text>
        <r>
          <rPr>
            <b/>
            <sz val="8"/>
            <rFont val="Tahoma"/>
            <family val="2"/>
          </rPr>
          <t>MM:</t>
        </r>
        <r>
          <rPr>
            <sz val="8"/>
            <rFont val="Tahoma"/>
            <family val="2"/>
          </rPr>
          <t xml:space="preserve">
Standard: nein
Zulässig: ja oder nein</t>
        </r>
      </text>
    </comment>
    <comment ref="C68" authorId="0">
      <text>
        <r>
          <rPr>
            <b/>
            <sz val="8"/>
            <rFont val="Tahoma"/>
            <family val="2"/>
          </rPr>
          <t>Unternehmenssteuern / Taxes:</t>
        </r>
        <r>
          <rPr>
            <sz val="8"/>
            <rFont val="Tahoma"/>
            <family val="2"/>
          </rPr>
          <t xml:space="preserve">
Steuern (Kommunal- und Ertragssteuern) am Standort auf den Gewinn. Abhängig von Gesellschaftsform, Land, etc.)
Taxes which the operationg company has to pay on the site. Depends on the site country and type of company.</t>
        </r>
      </text>
    </comment>
    <comment ref="C69" authorId="1">
      <text>
        <r>
          <rPr>
            <b/>
            <sz val="8"/>
            <rFont val="Tahoma"/>
            <family val="2"/>
          </rPr>
          <t>Oliver Scheld:</t>
        </r>
        <r>
          <rPr>
            <sz val="8"/>
            <rFont val="Tahoma"/>
            <family val="2"/>
          </rPr>
          <t xml:space="preserve">
local taxes or fees
</t>
        </r>
      </text>
    </comment>
    <comment ref="E69" authorId="1">
      <text>
        <r>
          <rPr>
            <b/>
            <sz val="8"/>
            <rFont val="Tahoma"/>
            <family val="2"/>
          </rPr>
          <t>Oliver Scheld:</t>
        </r>
        <r>
          <rPr>
            <sz val="8"/>
            <rFont val="Tahoma"/>
            <family val="2"/>
          </rPr>
          <t xml:space="preserve">
impuestos locales</t>
        </r>
      </text>
    </comment>
  </commentList>
</comments>
</file>

<file path=xl/comments3.xml><?xml version="1.0" encoding="utf-8"?>
<comments xmlns="http://schemas.openxmlformats.org/spreadsheetml/2006/main">
  <authors>
    <author>Holger Fuchs</author>
  </authors>
  <commentList>
    <comment ref="E65" authorId="0">
      <text>
        <r>
          <rPr>
            <sz val="8"/>
            <rFont val="Tahoma"/>
            <family val="2"/>
          </rPr>
          <t>muss immer!!! über 1,2 liegen, da Bankrelevant</t>
        </r>
      </text>
    </comment>
  </commentList>
</comments>
</file>

<file path=xl/sharedStrings.xml><?xml version="1.0" encoding="utf-8"?>
<sst xmlns="http://schemas.openxmlformats.org/spreadsheetml/2006/main" count="411" uniqueCount="322">
  <si>
    <t>Deutsch</t>
  </si>
  <si>
    <t>0.</t>
  </si>
  <si>
    <t xml:space="preserve">1. </t>
  </si>
  <si>
    <t>A</t>
  </si>
  <si>
    <t xml:space="preserve">2. </t>
  </si>
  <si>
    <t xml:space="preserve">3. </t>
  </si>
  <si>
    <t>ja</t>
  </si>
  <si>
    <t>N.N.</t>
  </si>
  <si>
    <t>4.</t>
  </si>
  <si>
    <t>Darlehen</t>
  </si>
  <si>
    <t>a</t>
  </si>
  <si>
    <t>5.</t>
  </si>
  <si>
    <t>6.</t>
  </si>
  <si>
    <t>English</t>
  </si>
  <si>
    <t>Euro</t>
  </si>
  <si>
    <t>Sprache in</t>
  </si>
  <si>
    <t>12.</t>
  </si>
  <si>
    <t>13.</t>
  </si>
  <si>
    <t>15.</t>
  </si>
  <si>
    <t>16.</t>
  </si>
  <si>
    <t>17.</t>
  </si>
  <si>
    <t>18.</t>
  </si>
  <si>
    <t>DSCR</t>
  </si>
  <si>
    <t>b.</t>
  </si>
  <si>
    <t>c.</t>
  </si>
  <si>
    <t>(0,5%, max. 25 TEUR)</t>
  </si>
  <si>
    <t>Cent/kWh</t>
  </si>
  <si>
    <t>€/ kwh</t>
  </si>
  <si>
    <t>€/kW</t>
  </si>
  <si>
    <t>kW</t>
  </si>
  <si>
    <t>kWh/a</t>
  </si>
  <si>
    <t>FV</t>
  </si>
  <si>
    <t>EUR</t>
  </si>
  <si>
    <t>TMR (€)</t>
  </si>
  <si>
    <t>uds.</t>
  </si>
  <si>
    <t>€</t>
  </si>
  <si>
    <t>años</t>
  </si>
  <si>
    <t>no</t>
  </si>
  <si>
    <t>si</t>
  </si>
  <si>
    <t>CAPITAL FINANCIADO</t>
  </si>
  <si>
    <t>CAPITAL PROPIO</t>
  </si>
  <si>
    <t>1.1</t>
  </si>
  <si>
    <t>1.2</t>
  </si>
  <si>
    <t>1.3</t>
  </si>
  <si>
    <t>2.1</t>
  </si>
  <si>
    <t>2.3</t>
  </si>
  <si>
    <t>2.4</t>
  </si>
  <si>
    <t>2.5</t>
  </si>
  <si>
    <t>2.6</t>
  </si>
  <si>
    <t>2.7</t>
  </si>
  <si>
    <t>2.8</t>
  </si>
  <si>
    <t>2.9</t>
  </si>
  <si>
    <t>2.10</t>
  </si>
  <si>
    <t>3.1</t>
  </si>
  <si>
    <t>3.2</t>
  </si>
  <si>
    <t>Prestamo</t>
  </si>
  <si>
    <t>leasing</t>
  </si>
  <si>
    <t>4.1</t>
  </si>
  <si>
    <t>5.1</t>
  </si>
  <si>
    <t>5.2</t>
  </si>
  <si>
    <t>5.3</t>
  </si>
  <si>
    <t>5.4</t>
  </si>
  <si>
    <t>5.5</t>
  </si>
  <si>
    <t>5.6</t>
  </si>
  <si>
    <t>5.7</t>
  </si>
  <si>
    <t>5.8</t>
  </si>
  <si>
    <t>5.9</t>
  </si>
  <si>
    <t>6.1</t>
  </si>
  <si>
    <t>6.2</t>
  </si>
  <si>
    <t>Amort.</t>
  </si>
  <si>
    <t>IS</t>
  </si>
  <si>
    <t xml:space="preserve"> </t>
  </si>
  <si>
    <t>2.11</t>
  </si>
  <si>
    <t>Español</t>
  </si>
  <si>
    <t>IS(b)</t>
  </si>
  <si>
    <t>Flujo neto tesoreria (b)</t>
  </si>
  <si>
    <t>Saldo cuenta cliente (b)</t>
  </si>
  <si>
    <t>kWp</t>
  </si>
  <si>
    <t>1kWh</t>
  </si>
  <si>
    <t>kWh</t>
  </si>
  <si>
    <t>1MWh</t>
  </si>
  <si>
    <t>tep</t>
  </si>
  <si>
    <t>1tep</t>
  </si>
  <si>
    <t>T CO2</t>
  </si>
  <si>
    <t>kg SO2</t>
  </si>
  <si>
    <t>1T CO2</t>
  </si>
  <si>
    <t>kcal</t>
  </si>
  <si>
    <t>Ha</t>
  </si>
  <si>
    <t>1kcal</t>
  </si>
  <si>
    <t>kJ</t>
  </si>
  <si>
    <t>1 te</t>
  </si>
  <si>
    <t>Córdoba</t>
  </si>
  <si>
    <t>ingresos</t>
  </si>
  <si>
    <t>kWh/año</t>
  </si>
  <si>
    <t>Euros/Wp</t>
  </si>
  <si>
    <t>Euros/kWh</t>
  </si>
  <si>
    <t>Euros</t>
  </si>
  <si>
    <t>m2</t>
  </si>
  <si>
    <t>5.10</t>
  </si>
  <si>
    <t>TIR antes impuestos</t>
  </si>
  <si>
    <t>5.11</t>
  </si>
  <si>
    <t>TIR despues de impuestos</t>
  </si>
  <si>
    <t>VAN</t>
  </si>
  <si>
    <t xml:space="preserve">TIR25 </t>
  </si>
  <si>
    <t>Spanish</t>
  </si>
  <si>
    <t>PROMOTION:</t>
  </si>
  <si>
    <t>Adress</t>
  </si>
  <si>
    <t>Project name</t>
  </si>
  <si>
    <t>Country</t>
  </si>
  <si>
    <t>type</t>
  </si>
  <si>
    <t>initial date</t>
  </si>
  <si>
    <t>Monetary analisys January the 1st</t>
  </si>
  <si>
    <t>Changed</t>
  </si>
  <si>
    <t>Nº Proyect</t>
  </si>
  <si>
    <t>CONFIDENTIAL</t>
  </si>
  <si>
    <t>Market Data</t>
  </si>
  <si>
    <t>Cost of inflaction</t>
  </si>
  <si>
    <t>VAT</t>
  </si>
  <si>
    <t>VAN Discount</t>
  </si>
  <si>
    <t>Cash deposits financial interest</t>
  </si>
  <si>
    <t>Installation data</t>
  </si>
  <si>
    <t>Nº of PV modules</t>
  </si>
  <si>
    <t>Nóminalm power per module</t>
  </si>
  <si>
    <t>total nominal power</t>
  </si>
  <si>
    <t>total surface of the plant</t>
  </si>
  <si>
    <t>Energy production</t>
  </si>
  <si>
    <t>Brut energy production</t>
  </si>
  <si>
    <t>aditional propduction by solar tracer</t>
  </si>
  <si>
    <t>electric loses</t>
  </si>
  <si>
    <t>yearly energy produced</t>
  </si>
  <si>
    <t>Net production per kWp</t>
  </si>
  <si>
    <t>PV TARIF year&lt;=25</t>
  </si>
  <si>
    <t>PV tarif year&gt;25</t>
  </si>
  <si>
    <t>average yearly incomings</t>
  </si>
  <si>
    <t>tarif incrementation</t>
  </si>
  <si>
    <t>Investment</t>
  </si>
  <si>
    <t>Buy price</t>
  </si>
  <si>
    <t>LEGALIZATION COST</t>
  </si>
  <si>
    <t>TOTAL INVERSION</t>
  </si>
  <si>
    <t>degradation of efficiency factor</t>
  </si>
  <si>
    <t>Final price "ready to use"</t>
  </si>
  <si>
    <t>Financcials</t>
  </si>
  <si>
    <t>Owners capital ( % of inversion)</t>
  </si>
  <si>
    <t>ECONOMICAL ANALISYS</t>
  </si>
  <si>
    <t>POLAND</t>
  </si>
  <si>
    <t>VIPSKILLS</t>
  </si>
  <si>
    <t>subsidy (% of inversion)</t>
  </si>
  <si>
    <t>LOAN</t>
  </si>
  <si>
    <t>Loan duration</t>
  </si>
  <si>
    <t>Exclusion period</t>
  </si>
  <si>
    <t>Interest</t>
  </si>
  <si>
    <t>Liquyid capital for the next month</t>
  </si>
  <si>
    <t>Loan amount</t>
  </si>
  <si>
    <t>Paying off period</t>
  </si>
  <si>
    <t>Yearly paying-off</t>
  </si>
  <si>
    <t>Operation costs</t>
  </si>
  <si>
    <t>Technical management</t>
  </si>
  <si>
    <t>Comercial management</t>
  </si>
  <si>
    <t>reserve of replacement for investors</t>
  </si>
  <si>
    <t>RENTING</t>
  </si>
  <si>
    <t>Dismantling</t>
  </si>
  <si>
    <t>Preventive maintenance</t>
  </si>
  <si>
    <t>Corrective maintenance</t>
  </si>
  <si>
    <t>electricity acquisition</t>
  </si>
  <si>
    <t>ensurance</t>
  </si>
  <si>
    <t>consultory taxes</t>
  </si>
  <si>
    <t>Taxes over benefits</t>
  </si>
  <si>
    <t>Comercialization taxes</t>
  </si>
  <si>
    <t>Other operation costs</t>
  </si>
  <si>
    <t>Increase in cost</t>
  </si>
  <si>
    <t>Increase in money</t>
  </si>
  <si>
    <t>200% after year 10th</t>
  </si>
  <si>
    <t xml:space="preserve">Total costs of operation (absol.) </t>
  </si>
  <si>
    <t>Operation costs in % of production</t>
  </si>
  <si>
    <t>Year of operation</t>
  </si>
  <si>
    <t>PRICE IN EUROS</t>
  </si>
  <si>
    <t>LIQUIDITY PLAN</t>
  </si>
  <si>
    <t>Project</t>
  </si>
  <si>
    <t>Tipe</t>
  </si>
  <si>
    <t>remuneration</t>
  </si>
  <si>
    <t>Incomings</t>
  </si>
  <si>
    <t>Incomings by electricity sales</t>
  </si>
  <si>
    <t>Incomings by interest</t>
  </si>
  <si>
    <t>VAT devolution</t>
  </si>
  <si>
    <t>Total incomings</t>
  </si>
  <si>
    <t>Costs</t>
  </si>
  <si>
    <t>Interests payment</t>
  </si>
  <si>
    <t>Capital PAYING-OFF</t>
  </si>
  <si>
    <t>Energy acquisition</t>
  </si>
  <si>
    <t>Insurance</t>
  </si>
  <si>
    <t>Exploitation management</t>
  </si>
  <si>
    <t>comercialization taxes</t>
  </si>
  <si>
    <t>other operation costs</t>
  </si>
  <si>
    <t>Total Costs</t>
  </si>
  <si>
    <t>Results aplying</t>
  </si>
  <si>
    <t>Cash flux(incomings-costs)</t>
  </si>
  <si>
    <t>tax depreciation (neg)</t>
  </si>
  <si>
    <t>Amortization of Capital (pos)</t>
  </si>
  <si>
    <t>VAN before taxes</t>
  </si>
  <si>
    <t>Contribution to Kioto protocol</t>
  </si>
  <si>
    <t>Yearly production of the plant      ( kWh)</t>
  </si>
  <si>
    <t>Production (tep)</t>
  </si>
  <si>
    <t>Emisions reduction CO2 (T)</t>
  </si>
  <si>
    <t>Emissions reduction SO2 (kg)</t>
  </si>
  <si>
    <t xml:space="preserve">Equivalent forest mass for the equivalent absortion of emmited CO2 </t>
  </si>
  <si>
    <t>kg SO2 (acid rain)</t>
  </si>
  <si>
    <t>Ha forest mass</t>
  </si>
  <si>
    <t>T CO2 (greenhouse effect gas)</t>
  </si>
  <si>
    <t>G&amp;L Gains and loses</t>
  </si>
  <si>
    <t>Taxes</t>
  </si>
  <si>
    <t>Benefit before taxes</t>
  </si>
  <si>
    <t>G&amp;L in %</t>
  </si>
  <si>
    <t>Cash before recovered taxes</t>
  </si>
  <si>
    <t>Results</t>
  </si>
  <si>
    <t>Cash after taxes (+devol. VAT year 1)</t>
  </si>
  <si>
    <t>Max Payment (absolute)</t>
  </si>
  <si>
    <t>Min Payment (in % of own capital)</t>
  </si>
  <si>
    <t>Calculation interval</t>
  </si>
  <si>
    <t>Benefit</t>
  </si>
  <si>
    <t>G&amp;L accumulated</t>
  </si>
  <si>
    <t>Return of own capital</t>
  </si>
  <si>
    <t>Return of capital</t>
  </si>
  <si>
    <t>Dividend</t>
  </si>
  <si>
    <t>Accumulated cash</t>
  </si>
  <si>
    <t>Cash flux before year 1</t>
  </si>
  <si>
    <t>Dividend with VAT reserve</t>
  </si>
  <si>
    <t>Min cash in stock</t>
  </si>
  <si>
    <t>debt service covering ratio (DSCR)</t>
  </si>
  <si>
    <t>Total investment</t>
  </si>
  <si>
    <t>Own Capital</t>
  </si>
  <si>
    <t>Nominal power of the plant</t>
  </si>
  <si>
    <t>Yearly produced energy</t>
  </si>
  <si>
    <t>Total energy reduction</t>
  </si>
  <si>
    <t>Total investment per kWp</t>
  </si>
  <si>
    <t>Maintenance cost/year</t>
  </si>
  <si>
    <t>SUM</t>
  </si>
  <si>
    <t>YEARS FOR TAXES AMORTIZATION</t>
  </si>
  <si>
    <t>YEARLY AMORTIZATION</t>
  </si>
  <si>
    <t>TOTAL CAPITAL FOR AMORTIZATION</t>
  </si>
  <si>
    <t>Ingreso anual medioyEARLY AVERAGE INCOMINGS</t>
  </si>
  <si>
    <t>Average tarif during the useful period of the installation</t>
  </si>
  <si>
    <t>medium debt service covering ratio (DSCR)</t>
  </si>
  <si>
    <t>TIR before taxes</t>
  </si>
  <si>
    <t>Amorization period</t>
  </si>
  <si>
    <t>TIR  after taxes</t>
  </si>
  <si>
    <t>VAN after taxes</t>
  </si>
  <si>
    <t>Reviewed year of amortization of own capital</t>
  </si>
  <si>
    <t>year of amortization</t>
  </si>
  <si>
    <t>correction of own capital</t>
  </si>
  <si>
    <t>Loan payment</t>
  </si>
  <si>
    <t>Loan</t>
  </si>
  <si>
    <t>Yearly G&amp;L before taxes</t>
  </si>
  <si>
    <t>G&amp;L acumulated</t>
  </si>
  <si>
    <t>Reviewed G&amp;L</t>
  </si>
  <si>
    <t>Compensation taxes</t>
  </si>
  <si>
    <t xml:space="preserve">PV plant </t>
  </si>
  <si>
    <t>Net cost</t>
  </si>
  <si>
    <t>Details</t>
  </si>
  <si>
    <t>Nº of modules</t>
  </si>
  <si>
    <t>max capacity</t>
  </si>
  <si>
    <t>Net electricity production</t>
  </si>
  <si>
    <t>average remuineration</t>
  </si>
  <si>
    <t>annual average incomings</t>
  </si>
  <si>
    <t>Investment per installed kWh</t>
  </si>
  <si>
    <t>Own capital</t>
  </si>
  <si>
    <t>lost funds</t>
  </si>
  <si>
    <t>Loan period</t>
  </si>
  <si>
    <t>Main</t>
  </si>
  <si>
    <t>average dividend</t>
  </si>
  <si>
    <t>average dividend before taxes</t>
  </si>
  <si>
    <t>TIR (before taxes)</t>
  </si>
  <si>
    <t>Own capital amortization</t>
  </si>
  <si>
    <t>VAN 25 years</t>
  </si>
  <si>
    <t>PV INSTALLATION CONECTED TO GRID</t>
  </si>
  <si>
    <t xml:space="preserve">Capacity: </t>
  </si>
  <si>
    <t>Location</t>
  </si>
  <si>
    <t>Yearly production:</t>
  </si>
  <si>
    <t>Price Wp:</t>
  </si>
  <si>
    <t>Minimum surface</t>
  </si>
  <si>
    <t>PROFITABILITY ANALISYS</t>
  </si>
  <si>
    <t>COSTS OF INSTALLATION AND OPERATION</t>
  </si>
  <si>
    <t>Total cost</t>
  </si>
  <si>
    <t>Operation cost</t>
  </si>
  <si>
    <t>INCOMINGS FROM PRODUCTION</t>
  </si>
  <si>
    <t>yearly productioin decrease</t>
  </si>
  <si>
    <t>yearly production</t>
  </si>
  <si>
    <t>Average reference tariff</t>
  </si>
  <si>
    <t>yearly increase of tarif</t>
  </si>
  <si>
    <t>Special regime tarif</t>
  </si>
  <si>
    <t>Primeros 25 añosFirst 25 years</t>
  </si>
  <si>
    <t>from year 26</t>
  </si>
  <si>
    <t>Total yearly incomings</t>
  </si>
  <si>
    <t>FINANCIAL PLANNING</t>
  </si>
  <si>
    <t>period</t>
  </si>
  <si>
    <t xml:space="preserve">INTEREST </t>
  </si>
  <si>
    <t>OWN FUNDS MONEY</t>
  </si>
  <si>
    <t>VAT FOR RECUPERATION</t>
  </si>
  <si>
    <t>Annual PV production</t>
  </si>
  <si>
    <t>Reduction of emmisions CO2 (T)</t>
  </si>
  <si>
    <t>Reduction of emmisions SO2 (kg)</t>
  </si>
  <si>
    <t xml:space="preserve">Equivalent forest mass to absorb the emmited CO2 </t>
  </si>
  <si>
    <t>T CO2 (greenhouse efect gas)</t>
  </si>
  <si>
    <t>VAN (before taxes)</t>
  </si>
  <si>
    <t>Amortization</t>
  </si>
  <si>
    <t>a 25 years</t>
  </si>
  <si>
    <t>years</t>
  </si>
  <si>
    <t>ANÁLISIS DE FLUJOS</t>
  </si>
  <si>
    <t>VAN antes de impuestos</t>
  </si>
  <si>
    <t>VAN 3% descuento</t>
  </si>
  <si>
    <t>TIR25 antes de impuestos</t>
  </si>
  <si>
    <t>Movimientos anuales</t>
  </si>
  <si>
    <t>Año</t>
  </si>
  <si>
    <t>Bono (€/kWp)</t>
  </si>
  <si>
    <t>Ingreso de producción (€)</t>
  </si>
  <si>
    <t>Costes de operación (€)</t>
  </si>
  <si>
    <t>Ingresos-cost. Operación (€)</t>
  </si>
  <si>
    <t>IVA</t>
  </si>
  <si>
    <t>CREDITO</t>
  </si>
  <si>
    <t>Interes</t>
  </si>
  <si>
    <t>Resultado operación</t>
  </si>
  <si>
    <t>Flujo de Caja Neto</t>
  </si>
  <si>
    <t>Balance de cantidad cliente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</si>
</sst>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D_M_-;\-* #,##0\ _D_M_-;_-* &quot;-&quot;\ _D_M_-;_-@_-"/>
    <numFmt numFmtId="167" formatCode="_-* #,##0.00\ _D_M_-;\-* #,##0.00\ _D_M_-;_-* &quot;-&quot;??\ _D_M_-;_-@_-"/>
    <numFmt numFmtId="168" formatCode="0.000"/>
    <numFmt numFmtId="169" formatCode="0.00000"/>
    <numFmt numFmtId="170" formatCode="_-* #,##0.00\ [$€-1]_-;\-* #,##0.00\ [$€-1]_-;_-* &quot;-&quot;??\ [$€-1]_-"/>
    <numFmt numFmtId="171" formatCode="0.0%"/>
    <numFmt numFmtId="172" formatCode="#,##0_$\a"/>
    <numFmt numFmtId="173" formatCode="#,##0.00000"/>
    <numFmt numFmtId="174" formatCode="#,##0.000"/>
    <numFmt numFmtId="175" formatCode="_-* #,##0.000\ &quot;DM&quot;_-;\-* #,##0.000\ &quot;DM&quot;_-;_-* &quot;-&quot;\ &quot;DM&quot;_-;_-@_-"/>
    <numFmt numFmtId="176" formatCode="0.0_ ;[Red]\-0.0\ "/>
    <numFmt numFmtId="177" formatCode="#,##0.0"/>
    <numFmt numFmtId="178" formatCode="0.0"/>
    <numFmt numFmtId="179" formatCode="_-* #,##0.0\ _D_M_-;\-* #,##0.0\ _D_M_-;_-* &quot;-&quot;??\ _D_M_-;_-@_-"/>
    <numFmt numFmtId="180" formatCode="0.0000"/>
    <numFmt numFmtId="181" formatCode="#,##0.000000"/>
    <numFmt numFmtId="182" formatCode="#,##0_ ;\-#,##0\ "/>
    <numFmt numFmtId="183" formatCode="#,##0.00\ &quot;€&quot;"/>
    <numFmt numFmtId="184" formatCode="#,##0.00_ ;[Red]\-#,##0.00\ "/>
    <numFmt numFmtId="185" formatCode="_-* #,##0.0\ &quot;€&quot;_-;\-* #,##0.0\ &quot;€&quot;_-;_-* &quot;-&quot;?\ &quot;€&quot;_-;_-@_-"/>
  </numFmts>
  <fonts count="69">
    <font>
      <sz val="10"/>
      <name val="Arial"/>
      <family val="0"/>
    </font>
    <font>
      <sz val="11"/>
      <color indexed="8"/>
      <name val="Calibri"/>
      <family val="2"/>
    </font>
    <font>
      <u val="single"/>
      <sz val="7"/>
      <color indexed="12"/>
      <name val="Arial"/>
      <family val="2"/>
    </font>
    <font>
      <b/>
      <sz val="10"/>
      <name val="Arial"/>
      <family val="2"/>
    </font>
    <font>
      <b/>
      <sz val="12"/>
      <name val="Arial"/>
      <family val="2"/>
    </font>
    <font>
      <sz val="10"/>
      <color indexed="10"/>
      <name val="Arial"/>
      <family val="2"/>
    </font>
    <font>
      <b/>
      <sz val="10"/>
      <color indexed="10"/>
      <name val="Arial"/>
      <family val="2"/>
    </font>
    <font>
      <b/>
      <sz val="10"/>
      <color indexed="9"/>
      <name val="Arial"/>
      <family val="2"/>
    </font>
    <font>
      <sz val="10"/>
      <color indexed="9"/>
      <name val="Arial"/>
      <family val="2"/>
    </font>
    <font>
      <sz val="8"/>
      <name val="Arial"/>
      <family val="2"/>
    </font>
    <font>
      <b/>
      <sz val="14"/>
      <name val="Arial"/>
      <family val="2"/>
    </font>
    <font>
      <b/>
      <sz val="11"/>
      <name val="Arial"/>
      <family val="2"/>
    </font>
    <font>
      <sz val="12"/>
      <name val="Arial"/>
      <family val="2"/>
    </font>
    <font>
      <sz val="12"/>
      <color indexed="10"/>
      <name val="Arial"/>
      <family val="2"/>
    </font>
    <font>
      <b/>
      <sz val="8"/>
      <name val="Tahoma"/>
      <family val="2"/>
    </font>
    <font>
      <sz val="8"/>
      <name val="Tahoma"/>
      <family val="2"/>
    </font>
    <font>
      <b/>
      <sz val="10"/>
      <color indexed="17"/>
      <name val="Arial"/>
      <family val="2"/>
    </font>
    <font>
      <sz val="14"/>
      <name val="Arial"/>
      <family val="2"/>
    </font>
    <font>
      <b/>
      <u val="single"/>
      <sz val="12"/>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2"/>
      <name val="Arial"/>
      <family val="2"/>
    </font>
    <font>
      <b/>
      <sz val="10"/>
      <color indexed="62"/>
      <name val="Arial"/>
      <family val="2"/>
    </font>
    <font>
      <b/>
      <sz val="10"/>
      <color indexed="13"/>
      <name val="Arial"/>
      <family val="2"/>
    </font>
    <font>
      <b/>
      <sz val="12"/>
      <color indexed="13"/>
      <name val="Arial"/>
      <family val="2"/>
    </font>
    <font>
      <sz val="10"/>
      <color indexed="13"/>
      <name val="Arial"/>
      <family val="2"/>
    </font>
    <font>
      <sz val="12"/>
      <color indexed="13"/>
      <name val="Arial"/>
      <family val="2"/>
    </font>
    <font>
      <sz val="10"/>
      <color indexed="8"/>
      <name val="Arial"/>
      <family val="0"/>
    </font>
    <font>
      <b/>
      <sz val="10"/>
      <color indexed="8"/>
      <name val="Arial"/>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3" tint="0.39998000860214233"/>
      <name val="Arial"/>
      <family val="2"/>
    </font>
    <font>
      <b/>
      <sz val="10"/>
      <color theme="3" tint="0.39998000860214233"/>
      <name val="Arial"/>
      <family val="2"/>
    </font>
    <font>
      <b/>
      <sz val="10"/>
      <color rgb="FFFFFF00"/>
      <name val="Arial"/>
      <family val="2"/>
    </font>
    <font>
      <b/>
      <sz val="12"/>
      <color rgb="FFFFFF00"/>
      <name val="Arial"/>
      <family val="2"/>
    </font>
    <font>
      <sz val="10"/>
      <color rgb="FFFFFF00"/>
      <name val="Arial"/>
      <family val="2"/>
    </font>
    <font>
      <sz val="12"/>
      <color rgb="FFFFFF00"/>
      <name val="Arial"/>
      <family val="2"/>
    </font>
    <font>
      <sz val="10"/>
      <color theme="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rgb="FF002060"/>
        <bgColor indexed="64"/>
      </patternFill>
    </fill>
    <fill>
      <patternFill patternType="solid">
        <fgColor theme="6" tint="-0.24997000396251678"/>
        <bgColor indexed="64"/>
      </patternFill>
    </fill>
    <fill>
      <patternFill patternType="solid">
        <fgColor theme="0" tint="-0.24997000396251678"/>
        <bgColor indexed="64"/>
      </patternFill>
    </fill>
    <fill>
      <patternFill patternType="solid">
        <fgColor rgb="FF99FF99"/>
        <bgColor indexed="64"/>
      </patternFill>
    </fill>
    <fill>
      <patternFill patternType="solid">
        <fgColor rgb="FF92D05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style="medium"/>
      <bottom style="thin"/>
    </border>
    <border>
      <left>
        <color indexed="63"/>
      </left>
      <right>
        <color indexed="63"/>
      </right>
      <top style="thin"/>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thin"/>
      <top style="medium"/>
      <bottom style="medium"/>
    </border>
    <border>
      <left>
        <color indexed="63"/>
      </left>
      <right style="medium"/>
      <top>
        <color indexed="63"/>
      </top>
      <bottom style="medium"/>
    </border>
    <border>
      <left style="medium">
        <color indexed="8"/>
      </left>
      <right>
        <color indexed="63"/>
      </right>
      <top>
        <color indexed="63"/>
      </top>
      <bottom>
        <color indexed="63"/>
      </bottom>
    </border>
    <border>
      <left style="medium">
        <color indexed="8"/>
      </left>
      <right style="medium"/>
      <top>
        <color indexed="63"/>
      </top>
      <bottom>
        <color indexed="63"/>
      </bottom>
    </border>
    <border>
      <left>
        <color indexed="63"/>
      </left>
      <right style="medium">
        <color indexed="8"/>
      </right>
      <top>
        <color indexed="63"/>
      </top>
      <bottom>
        <color indexed="63"/>
      </bottom>
    </border>
    <border>
      <left style="medium">
        <color indexed="8"/>
      </left>
      <right style="medium"/>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70" fontId="0" fillId="0" borderId="0" applyFont="0" applyFill="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48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10" fontId="5" fillId="0" borderId="0" xfId="0" applyNumberFormat="1" applyFont="1" applyBorder="1" applyAlignment="1">
      <alignment/>
    </xf>
    <xf numFmtId="3" fontId="0" fillId="0" borderId="0" xfId="0" applyNumberFormat="1" applyBorder="1" applyAlignment="1">
      <alignment/>
    </xf>
    <xf numFmtId="10" fontId="0" fillId="0" borderId="13" xfId="0" applyNumberFormat="1" applyFont="1" applyBorder="1" applyAlignment="1">
      <alignment/>
    </xf>
    <xf numFmtId="3" fontId="0" fillId="0" borderId="0" xfId="0" applyNumberFormat="1" applyAlignment="1">
      <alignment/>
    </xf>
    <xf numFmtId="3" fontId="10" fillId="0" borderId="14" xfId="0" applyNumberFormat="1" applyFont="1" applyBorder="1" applyAlignment="1">
      <alignment/>
    </xf>
    <xf numFmtId="3" fontId="4" fillId="0" borderId="11" xfId="0" applyNumberFormat="1" applyFont="1" applyBorder="1" applyAlignment="1">
      <alignment/>
    </xf>
    <xf numFmtId="0" fontId="0" fillId="0" borderId="0" xfId="0" applyFont="1" applyAlignment="1">
      <alignment/>
    </xf>
    <xf numFmtId="0" fontId="0" fillId="0" borderId="15" xfId="0" applyBorder="1" applyAlignment="1">
      <alignment/>
    </xf>
    <xf numFmtId="3" fontId="0" fillId="0" borderId="12" xfId="0" applyNumberFormat="1" applyBorder="1" applyAlignment="1">
      <alignment/>
    </xf>
    <xf numFmtId="49" fontId="0" fillId="0" borderId="11" xfId="0" applyNumberFormat="1" applyBorder="1" applyAlignment="1">
      <alignment/>
    </xf>
    <xf numFmtId="0" fontId="0" fillId="0" borderId="14" xfId="0"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6" xfId="0" applyFont="1" applyFill="1" applyBorder="1" applyAlignment="1">
      <alignment/>
    </xf>
    <xf numFmtId="1" fontId="0" fillId="0" borderId="13" xfId="0" applyNumberFormat="1" applyFont="1" applyBorder="1" applyAlignment="1">
      <alignment/>
    </xf>
    <xf numFmtId="10" fontId="0" fillId="0" borderId="0" xfId="0" applyNumberFormat="1" applyFont="1" applyFill="1" applyBorder="1" applyAlignment="1">
      <alignment/>
    </xf>
    <xf numFmtId="49" fontId="0" fillId="0" borderId="0" xfId="0" applyNumberFormat="1" applyFont="1" applyAlignment="1">
      <alignment horizontal="distributed" vertical="center" wrapText="1"/>
    </xf>
    <xf numFmtId="3" fontId="0" fillId="0" borderId="18" xfId="0" applyNumberFormat="1" applyBorder="1" applyAlignment="1">
      <alignment/>
    </xf>
    <xf numFmtId="0" fontId="0" fillId="0" borderId="19" xfId="0" applyBorder="1" applyAlignment="1">
      <alignment/>
    </xf>
    <xf numFmtId="0" fontId="0" fillId="0" borderId="0" xfId="0" applyAlignment="1">
      <alignment horizontal="center" vertical="center"/>
    </xf>
    <xf numFmtId="0" fontId="0" fillId="34" borderId="0" xfId="0" applyFill="1" applyBorder="1" applyAlignment="1">
      <alignment/>
    </xf>
    <xf numFmtId="3" fontId="0" fillId="35" borderId="20" xfId="0" applyNumberFormat="1" applyFill="1" applyBorder="1" applyAlignment="1">
      <alignment/>
    </xf>
    <xf numFmtId="0" fontId="0" fillId="35" borderId="20" xfId="0" applyFill="1" applyBorder="1" applyAlignment="1">
      <alignment/>
    </xf>
    <xf numFmtId="0" fontId="0" fillId="35" borderId="21" xfId="0" applyFill="1" applyBorder="1" applyAlignment="1">
      <alignment/>
    </xf>
    <xf numFmtId="49" fontId="0" fillId="35" borderId="22" xfId="0" applyNumberFormat="1" applyFont="1" applyFill="1" applyBorder="1" applyAlignment="1">
      <alignment horizontal="distributed" vertical="center" wrapText="1"/>
    </xf>
    <xf numFmtId="49" fontId="0" fillId="35" borderId="23" xfId="0" applyNumberFormat="1" applyFont="1" applyFill="1" applyBorder="1" applyAlignment="1">
      <alignment horizontal="distributed" vertical="center" wrapText="1"/>
    </xf>
    <xf numFmtId="49" fontId="0" fillId="35" borderId="24" xfId="0" applyNumberFormat="1" applyFont="1" applyFill="1" applyBorder="1" applyAlignment="1">
      <alignment horizontal="distributed" vertical="center" wrapText="1"/>
    </xf>
    <xf numFmtId="3" fontId="3" fillId="35" borderId="25" xfId="0" applyNumberFormat="1" applyFont="1" applyFill="1" applyBorder="1" applyAlignment="1">
      <alignment/>
    </xf>
    <xf numFmtId="3" fontId="3" fillId="35" borderId="26" xfId="0" applyNumberFormat="1" applyFon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30" xfId="0" applyFill="1" applyBorder="1" applyAlignment="1">
      <alignment/>
    </xf>
    <xf numFmtId="0" fontId="17" fillId="35" borderId="31" xfId="0" applyFont="1" applyFill="1" applyBorder="1" applyAlignment="1">
      <alignment/>
    </xf>
    <xf numFmtId="0" fontId="17" fillId="35" borderId="27" xfId="0" applyFont="1" applyFill="1" applyBorder="1" applyAlignment="1">
      <alignment/>
    </xf>
    <xf numFmtId="168" fontId="0" fillId="35" borderId="23" xfId="0" applyNumberFormat="1" applyFont="1" applyFill="1" applyBorder="1" applyAlignment="1">
      <alignment horizontal="distributed" vertical="center" wrapText="1"/>
    </xf>
    <xf numFmtId="0" fontId="0" fillId="35" borderId="32" xfId="0" applyFill="1" applyBorder="1" applyAlignment="1">
      <alignment/>
    </xf>
    <xf numFmtId="0" fontId="0" fillId="36" borderId="29" xfId="0" applyFill="1" applyBorder="1" applyAlignment="1">
      <alignment/>
    </xf>
    <xf numFmtId="10" fontId="0" fillId="36" borderId="28" xfId="0" applyNumberFormat="1" applyFill="1" applyBorder="1" applyAlignment="1">
      <alignment/>
    </xf>
    <xf numFmtId="10" fontId="0" fillId="36" borderId="13" xfId="0" applyNumberFormat="1" applyFill="1" applyBorder="1" applyAlignment="1">
      <alignment/>
    </xf>
    <xf numFmtId="8" fontId="0" fillId="35" borderId="28" xfId="0" applyNumberFormat="1" applyFill="1" applyBorder="1" applyAlignment="1">
      <alignment/>
    </xf>
    <xf numFmtId="3" fontId="0" fillId="36" borderId="33" xfId="0" applyNumberFormat="1" applyFill="1" applyBorder="1" applyAlignment="1">
      <alignment/>
    </xf>
    <xf numFmtId="0" fontId="0" fillId="36" borderId="33" xfId="0" applyFill="1" applyBorder="1" applyAlignment="1">
      <alignment/>
    </xf>
    <xf numFmtId="183" fontId="0" fillId="36" borderId="34" xfId="0" applyNumberFormat="1" applyFill="1" applyBorder="1" applyAlignment="1">
      <alignment/>
    </xf>
    <xf numFmtId="3" fontId="0" fillId="35" borderId="33" xfId="0" applyNumberFormat="1" applyFill="1" applyBorder="1" applyAlignment="1">
      <alignment/>
    </xf>
    <xf numFmtId="3" fontId="0" fillId="35" borderId="35" xfId="0" applyNumberFormat="1" applyFill="1" applyBorder="1" applyAlignment="1">
      <alignment/>
    </xf>
    <xf numFmtId="9" fontId="0" fillId="35" borderId="36" xfId="0" applyNumberFormat="1" applyFill="1" applyBorder="1" applyAlignment="1">
      <alignment/>
    </xf>
    <xf numFmtId="3" fontId="0" fillId="33" borderId="18" xfId="0" applyNumberFormat="1" applyFill="1" applyBorder="1" applyAlignment="1">
      <alignment/>
    </xf>
    <xf numFmtId="0" fontId="4" fillId="34" borderId="11" xfId="0" applyNumberFormat="1" applyFont="1" applyFill="1" applyBorder="1" applyAlignment="1">
      <alignment/>
    </xf>
    <xf numFmtId="0" fontId="0" fillId="34" borderId="12" xfId="0" applyFill="1" applyBorder="1" applyAlignment="1">
      <alignment/>
    </xf>
    <xf numFmtId="0" fontId="16" fillId="35" borderId="37" xfId="0" applyFont="1" applyFill="1" applyBorder="1" applyAlignment="1">
      <alignment/>
    </xf>
    <xf numFmtId="0" fontId="0" fillId="35" borderId="35" xfId="0" applyFill="1" applyBorder="1" applyAlignment="1">
      <alignment/>
    </xf>
    <xf numFmtId="2" fontId="16" fillId="35" borderId="35" xfId="0" applyNumberFormat="1" applyFont="1" applyFill="1" applyBorder="1" applyAlignment="1">
      <alignment/>
    </xf>
    <xf numFmtId="4" fontId="0" fillId="35" borderId="35" xfId="0" applyNumberFormat="1" applyFill="1" applyBorder="1" applyAlignment="1">
      <alignment/>
    </xf>
    <xf numFmtId="0" fontId="16" fillId="35" borderId="35" xfId="0" applyFont="1"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0" xfId="0" applyFont="1" applyFill="1" applyBorder="1" applyAlignment="1">
      <alignment/>
    </xf>
    <xf numFmtId="0" fontId="0" fillId="32" borderId="0" xfId="0" applyFill="1" applyBorder="1" applyAlignment="1">
      <alignment horizontal="center"/>
    </xf>
    <xf numFmtId="0" fontId="2" fillId="32" borderId="11" xfId="47" applyFill="1" applyBorder="1" applyAlignment="1" applyProtection="1">
      <alignment/>
      <protection/>
    </xf>
    <xf numFmtId="0" fontId="2" fillId="32" borderId="37" xfId="47" applyFill="1" applyBorder="1" applyAlignment="1" applyProtection="1">
      <alignment/>
      <protection/>
    </xf>
    <xf numFmtId="0" fontId="0" fillId="32" borderId="35" xfId="0" applyFill="1" applyBorder="1" applyAlignment="1">
      <alignment/>
    </xf>
    <xf numFmtId="0" fontId="5" fillId="32" borderId="35" xfId="0" applyFont="1" applyFill="1" applyBorder="1" applyAlignment="1" applyProtection="1">
      <alignment/>
      <protection locked="0"/>
    </xf>
    <xf numFmtId="0" fontId="0" fillId="32" borderId="38" xfId="0" applyFill="1" applyBorder="1" applyAlignment="1">
      <alignment/>
    </xf>
    <xf numFmtId="0" fontId="0" fillId="32" borderId="24" xfId="0" applyFill="1" applyBorder="1" applyAlignment="1">
      <alignment/>
    </xf>
    <xf numFmtId="0" fontId="0" fillId="32" borderId="13" xfId="0" applyFill="1" applyBorder="1" applyAlignment="1">
      <alignment/>
    </xf>
    <xf numFmtId="0" fontId="0" fillId="32" borderId="39" xfId="0" applyFill="1" applyBorder="1" applyAlignment="1">
      <alignment/>
    </xf>
    <xf numFmtId="0" fontId="0" fillId="32" borderId="40" xfId="0" applyFill="1" applyBorder="1" applyAlignment="1">
      <alignment/>
    </xf>
    <xf numFmtId="0" fontId="6" fillId="37" borderId="0" xfId="0" applyFont="1" applyFill="1" applyBorder="1" applyAlignment="1" applyProtection="1">
      <alignment/>
      <protection locked="0"/>
    </xf>
    <xf numFmtId="0" fontId="0" fillId="37" borderId="0" xfId="0" applyFont="1" applyFill="1" applyBorder="1" applyAlignment="1" applyProtection="1">
      <alignment/>
      <protection locked="0"/>
    </xf>
    <xf numFmtId="0" fontId="5" fillId="37" borderId="35" xfId="0" applyFont="1" applyFill="1" applyBorder="1" applyAlignment="1" applyProtection="1">
      <alignment/>
      <protection locked="0"/>
    </xf>
    <xf numFmtId="14" fontId="5" fillId="37" borderId="15" xfId="0" applyNumberFormat="1" applyFont="1" applyFill="1" applyBorder="1" applyAlignment="1" applyProtection="1">
      <alignment/>
      <protection locked="0"/>
    </xf>
    <xf numFmtId="0" fontId="5" fillId="37" borderId="12" xfId="0" applyFont="1" applyFill="1" applyBorder="1" applyAlignment="1" applyProtection="1">
      <alignment horizontal="right"/>
      <protection locked="0"/>
    </xf>
    <xf numFmtId="0" fontId="5" fillId="37" borderId="12" xfId="0" applyFont="1" applyFill="1" applyBorder="1" applyAlignment="1">
      <alignment/>
    </xf>
    <xf numFmtId="0" fontId="5" fillId="32" borderId="0" xfId="0" applyFont="1" applyFill="1" applyBorder="1" applyAlignment="1">
      <alignment horizontal="right"/>
    </xf>
    <xf numFmtId="178" fontId="5" fillId="32" borderId="41" xfId="0" applyNumberFormat="1" applyFont="1" applyFill="1" applyBorder="1" applyAlignment="1">
      <alignment/>
    </xf>
    <xf numFmtId="0" fontId="5" fillId="32" borderId="0" xfId="0" applyFont="1" applyFill="1" applyBorder="1" applyAlignment="1">
      <alignment/>
    </xf>
    <xf numFmtId="3" fontId="0" fillId="32" borderId="39" xfId="0" applyNumberFormat="1" applyFill="1" applyBorder="1" applyAlignment="1">
      <alignment/>
    </xf>
    <xf numFmtId="0" fontId="0" fillId="32" borderId="39" xfId="0" applyFont="1" applyFill="1" applyBorder="1" applyAlignment="1">
      <alignment/>
    </xf>
    <xf numFmtId="4" fontId="5" fillId="32" borderId="13" xfId="0" applyNumberFormat="1" applyFont="1" applyFill="1" applyBorder="1" applyAlignment="1">
      <alignment/>
    </xf>
    <xf numFmtId="0" fontId="5" fillId="32" borderId="40" xfId="0" applyFont="1" applyFill="1" applyBorder="1" applyAlignment="1">
      <alignment/>
    </xf>
    <xf numFmtId="0" fontId="5" fillId="37" borderId="0" xfId="0" applyFont="1" applyFill="1" applyBorder="1" applyAlignment="1">
      <alignment/>
    </xf>
    <xf numFmtId="174" fontId="0" fillId="37" borderId="0" xfId="0" applyNumberFormat="1" applyFont="1" applyFill="1" applyBorder="1" applyAlignment="1">
      <alignment/>
    </xf>
    <xf numFmtId="3" fontId="0" fillId="37" borderId="39" xfId="0" applyNumberFormat="1" applyFill="1" applyBorder="1" applyAlignment="1">
      <alignment/>
    </xf>
    <xf numFmtId="10" fontId="5" fillId="32" borderId="0" xfId="0" applyNumberFormat="1" applyFont="1" applyFill="1" applyBorder="1" applyAlignment="1">
      <alignment/>
    </xf>
    <xf numFmtId="3" fontId="5" fillId="32" borderId="0" xfId="0" applyNumberFormat="1" applyFont="1" applyFill="1" applyBorder="1" applyAlignment="1">
      <alignment/>
    </xf>
    <xf numFmtId="9" fontId="0" fillId="32" borderId="0" xfId="0" applyNumberFormat="1" applyFill="1" applyBorder="1" applyAlignment="1">
      <alignment/>
    </xf>
    <xf numFmtId="9" fontId="5" fillId="32" borderId="0" xfId="0" applyNumberFormat="1" applyFont="1" applyFill="1" applyBorder="1" applyAlignment="1">
      <alignment/>
    </xf>
    <xf numFmtId="3" fontId="0" fillId="32" borderId="0" xfId="0" applyNumberFormat="1" applyFill="1" applyBorder="1" applyAlignment="1">
      <alignment/>
    </xf>
    <xf numFmtId="0" fontId="0" fillId="32" borderId="0" xfId="0" applyFill="1" applyAlignment="1">
      <alignment/>
    </xf>
    <xf numFmtId="169" fontId="5" fillId="32" borderId="0" xfId="0" applyNumberFormat="1" applyFont="1" applyFill="1" applyBorder="1" applyAlignment="1">
      <alignment/>
    </xf>
    <xf numFmtId="169" fontId="0" fillId="32" borderId="0" xfId="0" applyNumberFormat="1" applyFont="1" applyFill="1" applyBorder="1" applyAlignment="1">
      <alignment/>
    </xf>
    <xf numFmtId="168" fontId="0" fillId="32" borderId="13" xfId="46" applyNumberFormat="1" applyFont="1" applyFill="1" applyBorder="1" applyAlignment="1">
      <alignment/>
    </xf>
    <xf numFmtId="9" fontId="0" fillId="37" borderId="0" xfId="0" applyNumberFormat="1" applyFill="1" applyBorder="1" applyAlignment="1">
      <alignment/>
    </xf>
    <xf numFmtId="9" fontId="5" fillId="37" borderId="0" xfId="0" applyNumberFormat="1" applyFont="1" applyFill="1" applyBorder="1" applyAlignment="1">
      <alignment/>
    </xf>
    <xf numFmtId="181" fontId="0" fillId="37" borderId="0" xfId="0" applyNumberFormat="1" applyFill="1" applyBorder="1" applyAlignment="1">
      <alignment/>
    </xf>
    <xf numFmtId="9" fontId="0" fillId="37" borderId="39" xfId="0" applyNumberFormat="1" applyFill="1" applyBorder="1" applyAlignment="1">
      <alignment/>
    </xf>
    <xf numFmtId="171" fontId="5" fillId="37" borderId="39" xfId="55" applyNumberFormat="1" applyFont="1" applyFill="1" applyBorder="1" applyAlignment="1">
      <alignment/>
    </xf>
    <xf numFmtId="0" fontId="0" fillId="37" borderId="39" xfId="0" applyFont="1" applyFill="1" applyBorder="1" applyAlignment="1">
      <alignment/>
    </xf>
    <xf numFmtId="169" fontId="0" fillId="37" borderId="39" xfId="0" applyNumberFormat="1" applyFont="1" applyFill="1" applyBorder="1" applyAlignment="1">
      <alignment/>
    </xf>
    <xf numFmtId="0" fontId="0" fillId="37" borderId="40" xfId="0" applyFill="1" applyBorder="1" applyAlignment="1">
      <alignment/>
    </xf>
    <xf numFmtId="10" fontId="0" fillId="37" borderId="0" xfId="0" applyNumberFormat="1" applyFill="1" applyAlignment="1">
      <alignment/>
    </xf>
    <xf numFmtId="9" fontId="0" fillId="37" borderId="0" xfId="0" applyNumberFormat="1" applyFont="1" applyFill="1" applyBorder="1" applyAlignment="1">
      <alignment/>
    </xf>
    <xf numFmtId="179" fontId="6" fillId="37" borderId="17" xfId="49" applyNumberFormat="1" applyFont="1" applyFill="1" applyBorder="1" applyAlignment="1">
      <alignment/>
    </xf>
    <xf numFmtId="3" fontId="5" fillId="32" borderId="0" xfId="0" applyNumberFormat="1" applyFont="1" applyFill="1" applyBorder="1" applyAlignment="1">
      <alignment horizontal="center"/>
    </xf>
    <xf numFmtId="0" fontId="0" fillId="32" borderId="41" xfId="0" applyFill="1" applyBorder="1" applyAlignment="1">
      <alignment/>
    </xf>
    <xf numFmtId="3" fontId="0" fillId="32" borderId="0" xfId="0" applyNumberFormat="1" applyFont="1" applyFill="1" applyBorder="1" applyAlignment="1">
      <alignment/>
    </xf>
    <xf numFmtId="0" fontId="0" fillId="32" borderId="16" xfId="0" applyFill="1" applyBorder="1" applyAlignment="1">
      <alignment/>
    </xf>
    <xf numFmtId="3" fontId="0" fillId="32" borderId="13" xfId="0" applyNumberFormat="1" applyFill="1" applyBorder="1" applyAlignment="1">
      <alignment/>
    </xf>
    <xf numFmtId="179" fontId="3" fillId="32" borderId="17" xfId="49" applyNumberFormat="1" applyFont="1" applyFill="1" applyBorder="1" applyAlignment="1">
      <alignment/>
    </xf>
    <xf numFmtId="9" fontId="0" fillId="32" borderId="13" xfId="55" applyFill="1" applyBorder="1" applyAlignment="1">
      <alignment/>
    </xf>
    <xf numFmtId="9" fontId="0" fillId="32" borderId="0" xfId="55" applyFill="1" applyBorder="1" applyAlignment="1">
      <alignment/>
    </xf>
    <xf numFmtId="171" fontId="5" fillId="32" borderId="0" xfId="0" applyNumberFormat="1" applyFont="1" applyFill="1" applyBorder="1" applyAlignment="1">
      <alignment/>
    </xf>
    <xf numFmtId="172" fontId="0" fillId="32" borderId="0" xfId="0" applyNumberFormat="1" applyFill="1" applyBorder="1" applyAlignment="1">
      <alignment/>
    </xf>
    <xf numFmtId="9" fontId="5" fillId="37" borderId="0" xfId="55" applyFont="1" applyFill="1" applyBorder="1" applyAlignment="1">
      <alignment/>
    </xf>
    <xf numFmtId="1" fontId="5" fillId="37" borderId="0" xfId="0" applyNumberFormat="1" applyFont="1" applyFill="1" applyBorder="1" applyAlignment="1">
      <alignment/>
    </xf>
    <xf numFmtId="1" fontId="0" fillId="37" borderId="0" xfId="0" applyNumberFormat="1" applyFont="1" applyFill="1" applyBorder="1" applyAlignment="1">
      <alignment/>
    </xf>
    <xf numFmtId="9" fontId="0" fillId="37" borderId="0" xfId="0" applyNumberFormat="1" applyFont="1" applyFill="1" applyBorder="1" applyAlignment="1">
      <alignment/>
    </xf>
    <xf numFmtId="10" fontId="3" fillId="37" borderId="13" xfId="0" applyNumberFormat="1" applyFont="1" applyFill="1" applyBorder="1" applyAlignment="1">
      <alignment/>
    </xf>
    <xf numFmtId="10" fontId="5" fillId="37" borderId="0" xfId="0" applyNumberFormat="1" applyFont="1" applyFill="1" applyBorder="1" applyAlignment="1">
      <alignment/>
    </xf>
    <xf numFmtId="9" fontId="0" fillId="37" borderId="39" xfId="55" applyFont="1" applyFill="1" applyBorder="1" applyAlignment="1">
      <alignment/>
    </xf>
    <xf numFmtId="0" fontId="9" fillId="32" borderId="0" xfId="0" applyFont="1" applyFill="1" applyBorder="1" applyAlignment="1">
      <alignment/>
    </xf>
    <xf numFmtId="10" fontId="0" fillId="32" borderId="0" xfId="0" applyNumberFormat="1" applyFont="1" applyFill="1" applyBorder="1" applyAlignment="1">
      <alignment/>
    </xf>
    <xf numFmtId="0" fontId="8" fillId="32" borderId="39" xfId="0" applyFont="1" applyFill="1" applyBorder="1" applyAlignment="1">
      <alignment/>
    </xf>
    <xf numFmtId="0" fontId="5" fillId="32" borderId="0" xfId="0" applyFont="1" applyFill="1" applyAlignment="1">
      <alignment/>
    </xf>
    <xf numFmtId="0" fontId="8" fillId="32" borderId="0" xfId="0" applyFont="1" applyFill="1" applyBorder="1" applyAlignment="1">
      <alignment horizontal="right"/>
    </xf>
    <xf numFmtId="0" fontId="5" fillId="32" borderId="13" xfId="0" applyFont="1" applyFill="1" applyBorder="1" applyAlignment="1">
      <alignment/>
    </xf>
    <xf numFmtId="10" fontId="5" fillId="32" borderId="13" xfId="0" applyNumberFormat="1" applyFont="1" applyFill="1" applyBorder="1" applyAlignment="1">
      <alignment/>
    </xf>
    <xf numFmtId="3" fontId="5" fillId="32" borderId="13" xfId="0" applyNumberFormat="1" applyFont="1" applyFill="1" applyBorder="1" applyAlignment="1">
      <alignment/>
    </xf>
    <xf numFmtId="0" fontId="9" fillId="32" borderId="13" xfId="0" applyFont="1" applyFill="1" applyBorder="1" applyAlignment="1">
      <alignment/>
    </xf>
    <xf numFmtId="10" fontId="0" fillId="32" borderId="13" xfId="0" applyNumberFormat="1" applyFont="1" applyFill="1" applyBorder="1" applyAlignment="1">
      <alignment/>
    </xf>
    <xf numFmtId="0" fontId="8" fillId="32" borderId="40" xfId="0" applyFont="1" applyFill="1" applyBorder="1" applyAlignment="1">
      <alignment/>
    </xf>
    <xf numFmtId="0" fontId="3" fillId="32" borderId="18" xfId="0" applyFont="1" applyFill="1" applyBorder="1" applyAlignment="1">
      <alignment/>
    </xf>
    <xf numFmtId="3" fontId="3" fillId="32" borderId="16" xfId="0" applyNumberFormat="1" applyFont="1" applyFill="1" applyBorder="1" applyAlignment="1">
      <alignment/>
    </xf>
    <xf numFmtId="0" fontId="3" fillId="32" borderId="16" xfId="0" applyFont="1" applyFill="1" applyBorder="1" applyAlignment="1">
      <alignment/>
    </xf>
    <xf numFmtId="171" fontId="3" fillId="32" borderId="17" xfId="0" applyNumberFormat="1" applyFont="1" applyFill="1" applyBorder="1" applyAlignment="1">
      <alignment/>
    </xf>
    <xf numFmtId="10" fontId="5" fillId="37" borderId="0" xfId="55" applyNumberFormat="1" applyFont="1" applyFill="1" applyBorder="1" applyAlignment="1">
      <alignment/>
    </xf>
    <xf numFmtId="3" fontId="5" fillId="37" borderId="0" xfId="0" applyNumberFormat="1" applyFont="1" applyFill="1" applyBorder="1" applyAlignment="1">
      <alignment/>
    </xf>
    <xf numFmtId="10" fontId="0" fillId="37" borderId="0" xfId="55" applyNumberFormat="1" applyFont="1" applyFill="1" applyBorder="1" applyAlignment="1">
      <alignment/>
    </xf>
    <xf numFmtId="2" fontId="0" fillId="37" borderId="0" xfId="49" applyNumberFormat="1" applyFont="1" applyFill="1" applyBorder="1" applyAlignment="1">
      <alignment/>
    </xf>
    <xf numFmtId="3" fontId="0" fillId="37" borderId="0" xfId="0" applyNumberFormat="1" applyFill="1" applyBorder="1" applyAlignment="1">
      <alignment/>
    </xf>
    <xf numFmtId="10" fontId="0" fillId="37" borderId="0" xfId="0" applyNumberFormat="1" applyFont="1" applyFill="1" applyBorder="1" applyAlignment="1">
      <alignment/>
    </xf>
    <xf numFmtId="0" fontId="0" fillId="32" borderId="13" xfId="0" applyFont="1" applyFill="1" applyBorder="1" applyAlignment="1">
      <alignment/>
    </xf>
    <xf numFmtId="0" fontId="0" fillId="37" borderId="11" xfId="0" applyFill="1" applyBorder="1" applyAlignment="1">
      <alignment/>
    </xf>
    <xf numFmtId="0" fontId="0" fillId="32" borderId="11" xfId="0" applyFill="1" applyBorder="1" applyAlignment="1" applyProtection="1">
      <alignment/>
      <protection locked="0"/>
    </xf>
    <xf numFmtId="0" fontId="0" fillId="37" borderId="0" xfId="0" applyFont="1" applyFill="1" applyBorder="1" applyAlignment="1" applyProtection="1">
      <alignment/>
      <protection locked="0"/>
    </xf>
    <xf numFmtId="0" fontId="0" fillId="32" borderId="0" xfId="0" applyFont="1" applyFill="1" applyBorder="1" applyAlignment="1">
      <alignment/>
    </xf>
    <xf numFmtId="3" fontId="0" fillId="0" borderId="37" xfId="0" applyNumberFormat="1" applyFont="1" applyBorder="1" applyAlignment="1">
      <alignment/>
    </xf>
    <xf numFmtId="3" fontId="3" fillId="35" borderId="42" xfId="0" applyNumberFormat="1" applyFont="1" applyFill="1" applyBorder="1" applyAlignment="1">
      <alignment/>
    </xf>
    <xf numFmtId="0" fontId="0" fillId="16" borderId="0" xfId="0" applyFill="1" applyAlignment="1">
      <alignment/>
    </xf>
    <xf numFmtId="3" fontId="0" fillId="16" borderId="0" xfId="0" applyNumberFormat="1" applyFill="1" applyBorder="1" applyAlignment="1">
      <alignment/>
    </xf>
    <xf numFmtId="0" fontId="0" fillId="16" borderId="0" xfId="0" applyFill="1" applyBorder="1" applyAlignment="1">
      <alignment/>
    </xf>
    <xf numFmtId="0" fontId="0" fillId="38" borderId="0" xfId="0" applyFill="1" applyAlignment="1">
      <alignment/>
    </xf>
    <xf numFmtId="0" fontId="0" fillId="38" borderId="0" xfId="0" applyFill="1" applyBorder="1" applyAlignment="1">
      <alignment/>
    </xf>
    <xf numFmtId="0" fontId="61" fillId="38" borderId="0" xfId="0" applyFont="1" applyFill="1" applyAlignment="1">
      <alignment/>
    </xf>
    <xf numFmtId="173" fontId="61" fillId="38" borderId="0" xfId="0" applyNumberFormat="1" applyFont="1" applyFill="1" applyBorder="1" applyAlignment="1" applyProtection="1">
      <alignment/>
      <protection locked="0"/>
    </xf>
    <xf numFmtId="173" fontId="61" fillId="38" borderId="0" xfId="0" applyNumberFormat="1" applyFont="1" applyFill="1" applyAlignment="1">
      <alignment/>
    </xf>
    <xf numFmtId="3" fontId="61" fillId="38" borderId="0" xfId="0" applyNumberFormat="1" applyFont="1" applyFill="1" applyAlignment="1">
      <alignment/>
    </xf>
    <xf numFmtId="3" fontId="61" fillId="38" borderId="0" xfId="0" applyNumberFormat="1" applyFont="1" applyFill="1" applyBorder="1" applyAlignment="1">
      <alignment/>
    </xf>
    <xf numFmtId="3" fontId="61" fillId="38" borderId="0" xfId="0" applyNumberFormat="1" applyFont="1" applyFill="1" applyBorder="1" applyAlignment="1" applyProtection="1">
      <alignment/>
      <protection locked="0"/>
    </xf>
    <xf numFmtId="0" fontId="61" fillId="38" borderId="0" xfId="0" applyFont="1" applyFill="1" applyBorder="1" applyAlignment="1">
      <alignment/>
    </xf>
    <xf numFmtId="3" fontId="0" fillId="38" borderId="0" xfId="0" applyNumberFormat="1" applyFill="1" applyBorder="1" applyAlignment="1" applyProtection="1">
      <alignment/>
      <protection locked="0"/>
    </xf>
    <xf numFmtId="0" fontId="0" fillId="38" borderId="0" xfId="0" applyFont="1" applyFill="1" applyAlignment="1">
      <alignment/>
    </xf>
    <xf numFmtId="3" fontId="0" fillId="38" borderId="0" xfId="0" applyNumberFormat="1" applyFont="1" applyFill="1" applyBorder="1" applyAlignment="1" applyProtection="1">
      <alignment/>
      <protection locked="0"/>
    </xf>
    <xf numFmtId="0" fontId="62" fillId="38" borderId="0" xfId="0" applyFont="1" applyFill="1" applyAlignment="1">
      <alignment/>
    </xf>
    <xf numFmtId="1" fontId="61" fillId="38" borderId="0" xfId="0" applyNumberFormat="1" applyFont="1" applyFill="1" applyAlignment="1">
      <alignment horizontal="right"/>
    </xf>
    <xf numFmtId="9" fontId="61" fillId="38" borderId="0" xfId="0" applyNumberFormat="1" applyFont="1" applyFill="1" applyAlignment="1">
      <alignment/>
    </xf>
    <xf numFmtId="171" fontId="61" fillId="38" borderId="0" xfId="0" applyNumberFormat="1" applyFont="1" applyFill="1" applyAlignment="1">
      <alignment/>
    </xf>
    <xf numFmtId="0" fontId="61" fillId="38" borderId="0" xfId="0" applyFont="1" applyFill="1" applyAlignment="1">
      <alignment horizontal="right"/>
    </xf>
    <xf numFmtId="2" fontId="61" fillId="38" borderId="0" xfId="0" applyNumberFormat="1" applyFont="1" applyFill="1" applyAlignment="1">
      <alignment/>
    </xf>
    <xf numFmtId="0" fontId="62" fillId="38" borderId="0" xfId="0" applyFont="1" applyFill="1" applyBorder="1" applyAlignment="1">
      <alignment/>
    </xf>
    <xf numFmtId="171" fontId="61" fillId="38" borderId="0" xfId="55" applyNumberFormat="1" applyFont="1" applyFill="1" applyBorder="1" applyAlignment="1">
      <alignment/>
    </xf>
    <xf numFmtId="171" fontId="61" fillId="38" borderId="0" xfId="0" applyNumberFormat="1" applyFont="1" applyFill="1" applyBorder="1" applyAlignment="1">
      <alignment/>
    </xf>
    <xf numFmtId="3" fontId="62" fillId="38" borderId="0" xfId="0" applyNumberFormat="1" applyFont="1" applyFill="1" applyAlignment="1">
      <alignment/>
    </xf>
    <xf numFmtId="1" fontId="61" fillId="38" borderId="0" xfId="0" applyNumberFormat="1" applyFont="1" applyFill="1" applyAlignment="1">
      <alignment/>
    </xf>
    <xf numFmtId="3" fontId="61" fillId="38" borderId="12" xfId="0" applyNumberFormat="1" applyFont="1" applyFill="1" applyBorder="1" applyAlignment="1">
      <alignment/>
    </xf>
    <xf numFmtId="9" fontId="61" fillId="38" borderId="0" xfId="55" applyFont="1" applyFill="1" applyBorder="1" applyAlignment="1">
      <alignment/>
    </xf>
    <xf numFmtId="176" fontId="61" fillId="38" borderId="0" xfId="0" applyNumberFormat="1" applyFont="1" applyFill="1" applyAlignment="1">
      <alignment/>
    </xf>
    <xf numFmtId="3" fontId="62" fillId="38" borderId="0" xfId="0" applyNumberFormat="1" applyFont="1" applyFill="1" applyBorder="1" applyAlignment="1">
      <alignment/>
    </xf>
    <xf numFmtId="9" fontId="61" fillId="38" borderId="0" xfId="0" applyNumberFormat="1" applyFont="1" applyFill="1" applyBorder="1" applyAlignment="1">
      <alignment/>
    </xf>
    <xf numFmtId="8" fontId="61" fillId="38" borderId="0" xfId="0" applyNumberFormat="1" applyFont="1" applyFill="1" applyBorder="1" applyAlignment="1">
      <alignment/>
    </xf>
    <xf numFmtId="10" fontId="61" fillId="38" borderId="0" xfId="0" applyNumberFormat="1" applyFont="1" applyFill="1" applyBorder="1" applyAlignment="1">
      <alignment/>
    </xf>
    <xf numFmtId="3" fontId="63" fillId="39" borderId="37" xfId="0" applyNumberFormat="1" applyFont="1" applyFill="1" applyBorder="1" applyAlignment="1">
      <alignment/>
    </xf>
    <xf numFmtId="3" fontId="63" fillId="39" borderId="35" xfId="0" applyNumberFormat="1" applyFont="1" applyFill="1" applyBorder="1" applyAlignment="1">
      <alignment/>
    </xf>
    <xf numFmtId="3" fontId="63" fillId="39" borderId="43" xfId="0" applyNumberFormat="1" applyFont="1" applyFill="1" applyBorder="1" applyAlignment="1">
      <alignment/>
    </xf>
    <xf numFmtId="3" fontId="64" fillId="39" borderId="14" xfId="0" applyNumberFormat="1" applyFont="1" applyFill="1" applyBorder="1" applyAlignment="1">
      <alignment/>
    </xf>
    <xf numFmtId="0" fontId="65" fillId="39" borderId="10" xfId="0" applyFont="1" applyFill="1" applyBorder="1" applyAlignment="1">
      <alignment/>
    </xf>
    <xf numFmtId="3" fontId="64" fillId="39" borderId="10" xfId="0" applyNumberFormat="1" applyFont="1" applyFill="1" applyBorder="1" applyAlignment="1">
      <alignment/>
    </xf>
    <xf numFmtId="3" fontId="63" fillId="39" borderId="10" xfId="0" applyNumberFormat="1" applyFont="1" applyFill="1" applyBorder="1" applyAlignment="1">
      <alignment/>
    </xf>
    <xf numFmtId="0" fontId="63" fillId="39" borderId="10" xfId="0" applyFont="1" applyFill="1" applyBorder="1" applyAlignment="1">
      <alignment/>
    </xf>
    <xf numFmtId="0" fontId="63" fillId="39" borderId="15" xfId="0" applyFont="1" applyFill="1" applyBorder="1" applyAlignment="1">
      <alignment/>
    </xf>
    <xf numFmtId="0" fontId="65" fillId="39" borderId="0" xfId="0" applyFont="1" applyFill="1" applyBorder="1" applyAlignment="1">
      <alignment horizontal="center"/>
    </xf>
    <xf numFmtId="0" fontId="65" fillId="39" borderId="12" xfId="0" applyFont="1" applyFill="1" applyBorder="1" applyAlignment="1">
      <alignment horizontal="center"/>
    </xf>
    <xf numFmtId="3" fontId="63" fillId="39" borderId="11" xfId="0" applyNumberFormat="1" applyFont="1" applyFill="1" applyBorder="1" applyAlignment="1">
      <alignment/>
    </xf>
    <xf numFmtId="3" fontId="63" fillId="39" borderId="0" xfId="0" applyNumberFormat="1" applyFont="1" applyFill="1" applyBorder="1" applyAlignment="1">
      <alignment/>
    </xf>
    <xf numFmtId="1" fontId="63" fillId="39" borderId="0" xfId="0" applyNumberFormat="1" applyFont="1" applyFill="1" applyBorder="1" applyAlignment="1">
      <alignment/>
    </xf>
    <xf numFmtId="1" fontId="63" fillId="39" borderId="12" xfId="0" applyNumberFormat="1" applyFont="1" applyFill="1" applyBorder="1" applyAlignment="1">
      <alignment/>
    </xf>
    <xf numFmtId="1" fontId="63" fillId="39" borderId="12" xfId="0" applyNumberFormat="1" applyFont="1" applyFill="1" applyBorder="1" applyAlignment="1">
      <alignment horizontal="right"/>
    </xf>
    <xf numFmtId="3" fontId="63" fillId="39" borderId="12" xfId="0" applyNumberFormat="1" applyFont="1" applyFill="1" applyBorder="1" applyAlignment="1">
      <alignment/>
    </xf>
    <xf numFmtId="171" fontId="63" fillId="39" borderId="35" xfId="55" applyNumberFormat="1" applyFont="1" applyFill="1" applyBorder="1" applyAlignment="1">
      <alignment horizontal="right"/>
    </xf>
    <xf numFmtId="171" fontId="63" fillId="39" borderId="43" xfId="55" applyNumberFormat="1" applyFont="1" applyFill="1" applyBorder="1" applyAlignment="1">
      <alignment horizontal="right"/>
    </xf>
    <xf numFmtId="171" fontId="63" fillId="39" borderId="35" xfId="55" applyNumberFormat="1" applyFont="1" applyFill="1" applyBorder="1" applyAlignment="1">
      <alignment/>
    </xf>
    <xf numFmtId="9" fontId="63" fillId="39" borderId="43" xfId="55" applyNumberFormat="1" applyFont="1" applyFill="1" applyBorder="1" applyAlignment="1">
      <alignment/>
    </xf>
    <xf numFmtId="3" fontId="0" fillId="37" borderId="10" xfId="0" applyNumberFormat="1" applyFill="1" applyBorder="1" applyAlignment="1">
      <alignment/>
    </xf>
    <xf numFmtId="0" fontId="0" fillId="37" borderId="10" xfId="0" applyFill="1" applyBorder="1" applyAlignment="1">
      <alignment/>
    </xf>
    <xf numFmtId="3" fontId="3" fillId="37" borderId="10" xfId="0" applyNumberFormat="1" applyFont="1" applyFill="1" applyBorder="1" applyAlignment="1">
      <alignment/>
    </xf>
    <xf numFmtId="3" fontId="11" fillId="37" borderId="10" xfId="0" applyNumberFormat="1" applyFont="1" applyFill="1" applyBorder="1" applyAlignment="1">
      <alignment/>
    </xf>
    <xf numFmtId="3" fontId="18" fillId="37" borderId="10" xfId="47" applyNumberFormat="1" applyFont="1" applyFill="1" applyBorder="1" applyAlignment="1" applyProtection="1">
      <alignment/>
      <protection/>
    </xf>
    <xf numFmtId="3" fontId="4" fillId="37" borderId="10" xfId="0" applyNumberFormat="1" applyFont="1" applyFill="1" applyBorder="1" applyAlignment="1">
      <alignment/>
    </xf>
    <xf numFmtId="14" fontId="0" fillId="37" borderId="15" xfId="0" applyNumberFormat="1" applyFont="1" applyFill="1" applyBorder="1" applyAlignment="1">
      <alignment/>
    </xf>
    <xf numFmtId="0" fontId="0" fillId="37" borderId="0" xfId="0" applyFill="1" applyAlignment="1">
      <alignment/>
    </xf>
    <xf numFmtId="3" fontId="4" fillId="37" borderId="0" xfId="0" applyNumberFormat="1" applyFont="1" applyFill="1" applyBorder="1" applyAlignment="1">
      <alignment/>
    </xf>
    <xf numFmtId="0" fontId="0" fillId="37" borderId="0" xfId="0" applyFill="1" applyBorder="1" applyAlignment="1">
      <alignment/>
    </xf>
    <xf numFmtId="0" fontId="0" fillId="37" borderId="12" xfId="0" applyFont="1" applyFill="1" applyBorder="1" applyAlignment="1">
      <alignment horizontal="right"/>
    </xf>
    <xf numFmtId="0" fontId="3" fillId="37" borderId="0" xfId="0" applyFont="1" applyFill="1" applyBorder="1" applyAlignment="1">
      <alignment horizontal="center"/>
    </xf>
    <xf numFmtId="0" fontId="0" fillId="37" borderId="12" xfId="0" applyFill="1" applyBorder="1" applyAlignment="1">
      <alignment horizontal="center"/>
    </xf>
    <xf numFmtId="0" fontId="0" fillId="37" borderId="0" xfId="0" applyFont="1" applyFill="1" applyAlignment="1">
      <alignment/>
    </xf>
    <xf numFmtId="3" fontId="2" fillId="37" borderId="0" xfId="47" applyNumberFormat="1" applyFill="1" applyBorder="1" applyAlignment="1" applyProtection="1">
      <alignment/>
      <protection/>
    </xf>
    <xf numFmtId="0" fontId="0" fillId="37" borderId="35" xfId="0" applyFill="1" applyBorder="1" applyAlignment="1">
      <alignment horizontal="center"/>
    </xf>
    <xf numFmtId="0" fontId="0" fillId="37" borderId="43" xfId="0" applyFill="1" applyBorder="1" applyAlignment="1">
      <alignment horizontal="center"/>
    </xf>
    <xf numFmtId="0" fontId="0" fillId="37" borderId="14" xfId="0" applyFill="1" applyBorder="1" applyAlignment="1">
      <alignment/>
    </xf>
    <xf numFmtId="0" fontId="0" fillId="37" borderId="15" xfId="0" applyFill="1" applyBorder="1" applyAlignment="1">
      <alignment/>
    </xf>
    <xf numFmtId="0" fontId="0" fillId="37" borderId="12" xfId="0" applyFill="1" applyBorder="1" applyAlignment="1">
      <alignment/>
    </xf>
    <xf numFmtId="3" fontId="3" fillId="37" borderId="11" xfId="0" applyNumberFormat="1" applyFont="1" applyFill="1" applyBorder="1" applyAlignment="1">
      <alignment/>
    </xf>
    <xf numFmtId="3" fontId="0" fillId="37" borderId="12" xfId="0" applyNumberFormat="1" applyFill="1" applyBorder="1" applyAlignment="1">
      <alignment/>
    </xf>
    <xf numFmtId="49" fontId="0" fillId="37" borderId="11" xfId="0" applyNumberFormat="1" applyFill="1" applyBorder="1" applyAlignment="1">
      <alignment/>
    </xf>
    <xf numFmtId="3" fontId="0" fillId="37" borderId="12" xfId="0" applyNumberFormat="1" applyFont="1" applyFill="1" applyBorder="1" applyAlignment="1">
      <alignment/>
    </xf>
    <xf numFmtId="3" fontId="0" fillId="37" borderId="0" xfId="0" applyNumberFormat="1" applyFont="1" applyFill="1" applyBorder="1" applyAlignment="1">
      <alignment/>
    </xf>
    <xf numFmtId="3" fontId="0" fillId="37" borderId="15" xfId="0" applyNumberFormat="1" applyFill="1" applyBorder="1" applyAlignment="1">
      <alignment/>
    </xf>
    <xf numFmtId="3" fontId="0" fillId="37" borderId="15" xfId="0" applyNumberFormat="1" applyFont="1" applyFill="1" applyBorder="1" applyAlignment="1">
      <alignment/>
    </xf>
    <xf numFmtId="3" fontId="0" fillId="37" borderId="11" xfId="0" applyNumberFormat="1" applyFont="1" applyFill="1" applyBorder="1" applyAlignment="1">
      <alignment/>
    </xf>
    <xf numFmtId="3" fontId="0" fillId="37" borderId="11" xfId="0" applyNumberFormat="1" applyFill="1" applyBorder="1" applyAlignment="1">
      <alignment/>
    </xf>
    <xf numFmtId="49" fontId="0" fillId="37" borderId="14" xfId="0" applyNumberFormat="1" applyFont="1" applyFill="1" applyBorder="1" applyAlignment="1">
      <alignment/>
    </xf>
    <xf numFmtId="3" fontId="3" fillId="37" borderId="10" xfId="0" applyNumberFormat="1" applyFont="1" applyFill="1" applyBorder="1" applyAlignment="1">
      <alignment/>
    </xf>
    <xf numFmtId="3" fontId="3" fillId="37" borderId="15" xfId="0" applyNumberFormat="1" applyFont="1" applyFill="1" applyBorder="1" applyAlignment="1">
      <alignment/>
    </xf>
    <xf numFmtId="183" fontId="3" fillId="37" borderId="0" xfId="0" applyNumberFormat="1" applyFont="1" applyFill="1" applyBorder="1" applyAlignment="1">
      <alignment/>
    </xf>
    <xf numFmtId="9" fontId="3" fillId="37" borderId="12" xfId="0" applyNumberFormat="1" applyFont="1" applyFill="1" applyBorder="1" applyAlignment="1">
      <alignment/>
    </xf>
    <xf numFmtId="49" fontId="0" fillId="37" borderId="11" xfId="0" applyNumberFormat="1" applyFont="1" applyFill="1" applyBorder="1" applyAlignment="1">
      <alignment/>
    </xf>
    <xf numFmtId="3" fontId="3" fillId="37" borderId="0" xfId="0" applyNumberFormat="1" applyFont="1" applyFill="1" applyBorder="1" applyAlignment="1">
      <alignment/>
    </xf>
    <xf numFmtId="3" fontId="3" fillId="37" borderId="12" xfId="0" applyNumberFormat="1" applyFont="1" applyFill="1" applyBorder="1" applyAlignment="1">
      <alignment/>
    </xf>
    <xf numFmtId="171" fontId="3" fillId="37" borderId="0" xfId="0" applyNumberFormat="1" applyFont="1" applyFill="1" applyBorder="1" applyAlignment="1">
      <alignment horizontal="right"/>
    </xf>
    <xf numFmtId="171" fontId="3" fillId="37" borderId="12" xfId="0" applyNumberFormat="1" applyFont="1" applyFill="1" applyBorder="1" applyAlignment="1">
      <alignment horizontal="right"/>
    </xf>
    <xf numFmtId="10" fontId="3" fillId="37" borderId="0" xfId="0" applyNumberFormat="1" applyFont="1" applyFill="1" applyBorder="1" applyAlignment="1">
      <alignment/>
    </xf>
    <xf numFmtId="9" fontId="3" fillId="37" borderId="12" xfId="55" applyFont="1" applyFill="1" applyBorder="1" applyAlignment="1">
      <alignment/>
    </xf>
    <xf numFmtId="3" fontId="0" fillId="37" borderId="0" xfId="0" applyNumberFormat="1" applyFont="1" applyFill="1" applyBorder="1" applyAlignment="1">
      <alignment/>
    </xf>
    <xf numFmtId="3" fontId="3" fillId="37" borderId="12" xfId="0" applyNumberFormat="1" applyFont="1" applyFill="1" applyBorder="1" applyAlignment="1">
      <alignment/>
    </xf>
    <xf numFmtId="10" fontId="3" fillId="37" borderId="12" xfId="0" applyNumberFormat="1" applyFont="1" applyFill="1" applyBorder="1" applyAlignment="1">
      <alignment/>
    </xf>
    <xf numFmtId="8" fontId="0" fillId="37" borderId="0" xfId="0" applyNumberFormat="1" applyFill="1" applyBorder="1" applyAlignment="1">
      <alignment/>
    </xf>
    <xf numFmtId="3" fontId="63" fillId="40" borderId="11" xfId="0" applyNumberFormat="1" applyFont="1" applyFill="1" applyBorder="1" applyAlignment="1">
      <alignment/>
    </xf>
    <xf numFmtId="3" fontId="63" fillId="40" borderId="0" xfId="0" applyNumberFormat="1" applyFont="1" applyFill="1" applyBorder="1" applyAlignment="1">
      <alignment/>
    </xf>
    <xf numFmtId="3" fontId="63" fillId="40" borderId="12" xfId="0" applyNumberFormat="1" applyFont="1" applyFill="1" applyBorder="1" applyAlignment="1">
      <alignment/>
    </xf>
    <xf numFmtId="3" fontId="65" fillId="40" borderId="12" xfId="0" applyNumberFormat="1" applyFont="1" applyFill="1" applyBorder="1" applyAlignment="1">
      <alignment/>
    </xf>
    <xf numFmtId="3" fontId="0" fillId="37" borderId="11" xfId="0" applyNumberFormat="1" applyFont="1" applyFill="1" applyBorder="1" applyAlignment="1">
      <alignment/>
    </xf>
    <xf numFmtId="4" fontId="0" fillId="37" borderId="0" xfId="0" applyNumberFormat="1" applyFill="1" applyBorder="1" applyAlignment="1">
      <alignment horizontal="right"/>
    </xf>
    <xf numFmtId="4" fontId="0" fillId="37" borderId="0" xfId="0" applyNumberFormat="1" applyFill="1" applyBorder="1" applyAlignment="1">
      <alignment/>
    </xf>
    <xf numFmtId="4" fontId="0" fillId="37" borderId="12" xfId="0" applyNumberFormat="1" applyFill="1" applyBorder="1" applyAlignment="1">
      <alignment/>
    </xf>
    <xf numFmtId="3" fontId="11" fillId="37" borderId="37" xfId="0" applyNumberFormat="1" applyFont="1" applyFill="1" applyBorder="1" applyAlignment="1">
      <alignment/>
    </xf>
    <xf numFmtId="3" fontId="0" fillId="37" borderId="35" xfId="0" applyNumberFormat="1" applyFont="1" applyFill="1" applyBorder="1" applyAlignment="1">
      <alignment/>
    </xf>
    <xf numFmtId="3" fontId="11" fillId="37" borderId="35" xfId="0" applyNumberFormat="1" applyFont="1" applyFill="1" applyBorder="1" applyAlignment="1">
      <alignment/>
    </xf>
    <xf numFmtId="3" fontId="0" fillId="37" borderId="35" xfId="0" applyNumberFormat="1" applyFill="1" applyBorder="1" applyAlignment="1">
      <alignment/>
    </xf>
    <xf numFmtId="3" fontId="0" fillId="37" borderId="43" xfId="0" applyNumberFormat="1" applyFill="1" applyBorder="1" applyAlignment="1">
      <alignment/>
    </xf>
    <xf numFmtId="0" fontId="64" fillId="40" borderId="11" xfId="0" applyFont="1" applyFill="1" applyBorder="1" applyAlignment="1">
      <alignment/>
    </xf>
    <xf numFmtId="0" fontId="66" fillId="40" borderId="0" xfId="0" applyFont="1" applyFill="1" applyBorder="1" applyAlignment="1">
      <alignment/>
    </xf>
    <xf numFmtId="0" fontId="65" fillId="40" borderId="0" xfId="0" applyFont="1" applyFill="1" applyBorder="1" applyAlignment="1">
      <alignment/>
    </xf>
    <xf numFmtId="0" fontId="65" fillId="40" borderId="35" xfId="0" applyFont="1" applyFill="1" applyBorder="1" applyAlignment="1">
      <alignment/>
    </xf>
    <xf numFmtId="0" fontId="65" fillId="40" borderId="12" xfId="0" applyFont="1" applyFill="1" applyBorder="1" applyAlignment="1">
      <alignment/>
    </xf>
    <xf numFmtId="0" fontId="12" fillId="37" borderId="10" xfId="0" applyFont="1" applyFill="1" applyBorder="1" applyAlignment="1">
      <alignment/>
    </xf>
    <xf numFmtId="3" fontId="12" fillId="37" borderId="10" xfId="0" applyNumberFormat="1" applyFont="1" applyFill="1" applyBorder="1" applyAlignment="1">
      <alignment/>
    </xf>
    <xf numFmtId="0" fontId="12" fillId="37" borderId="10" xfId="0" applyFont="1" applyFill="1" applyBorder="1" applyAlignment="1">
      <alignment horizontal="left"/>
    </xf>
    <xf numFmtId="0" fontId="12" fillId="37" borderId="0" xfId="0" applyFont="1" applyFill="1" applyBorder="1" applyAlignment="1">
      <alignment/>
    </xf>
    <xf numFmtId="9" fontId="12" fillId="37" borderId="10" xfId="55" applyFont="1" applyFill="1" applyBorder="1" applyAlignment="1">
      <alignment/>
    </xf>
    <xf numFmtId="0" fontId="12" fillId="37" borderId="15" xfId="0" applyFont="1" applyFill="1" applyBorder="1" applyAlignment="1">
      <alignment/>
    </xf>
    <xf numFmtId="9" fontId="12" fillId="37" borderId="0" xfId="0" applyNumberFormat="1" applyFont="1" applyFill="1" applyBorder="1" applyAlignment="1">
      <alignment horizontal="center"/>
    </xf>
    <xf numFmtId="3" fontId="12" fillId="37" borderId="0" xfId="0" applyNumberFormat="1" applyFont="1" applyFill="1" applyBorder="1" applyAlignment="1">
      <alignment/>
    </xf>
    <xf numFmtId="168" fontId="12" fillId="37" borderId="0" xfId="0" applyNumberFormat="1" applyFont="1" applyFill="1" applyBorder="1" applyAlignment="1">
      <alignment horizontal="right"/>
    </xf>
    <xf numFmtId="175" fontId="12" fillId="37" borderId="0" xfId="0" applyNumberFormat="1" applyFont="1" applyFill="1" applyBorder="1" applyAlignment="1">
      <alignment/>
    </xf>
    <xf numFmtId="10" fontId="12" fillId="37" borderId="0" xfId="0" applyNumberFormat="1" applyFont="1" applyFill="1" applyBorder="1" applyAlignment="1">
      <alignment/>
    </xf>
    <xf numFmtId="0" fontId="12" fillId="37" borderId="12" xfId="0" applyFont="1" applyFill="1" applyBorder="1" applyAlignment="1">
      <alignment/>
    </xf>
    <xf numFmtId="171" fontId="12" fillId="37" borderId="0" xfId="0" applyNumberFormat="1" applyFont="1" applyFill="1" applyBorder="1" applyAlignment="1">
      <alignment/>
    </xf>
    <xf numFmtId="2" fontId="12" fillId="37" borderId="0" xfId="0" applyNumberFormat="1" applyFont="1" applyFill="1" applyBorder="1" applyAlignment="1">
      <alignment horizontal="right"/>
    </xf>
    <xf numFmtId="0" fontId="13" fillId="37" borderId="0" xfId="0" applyFont="1" applyFill="1" applyBorder="1" applyAlignment="1">
      <alignment/>
    </xf>
    <xf numFmtId="9" fontId="12" fillId="37" borderId="0" xfId="0" applyNumberFormat="1" applyFont="1" applyFill="1" applyBorder="1" applyAlignment="1">
      <alignment/>
    </xf>
    <xf numFmtId="4" fontId="12" fillId="37" borderId="0" xfId="0" applyNumberFormat="1" applyFont="1" applyFill="1" applyBorder="1" applyAlignment="1">
      <alignment/>
    </xf>
    <xf numFmtId="168" fontId="12" fillId="37" borderId="0" xfId="0" applyNumberFormat="1" applyFont="1" applyFill="1" applyBorder="1" applyAlignment="1">
      <alignment/>
    </xf>
    <xf numFmtId="1" fontId="12" fillId="37" borderId="0" xfId="0" applyNumberFormat="1" applyFont="1" applyFill="1" applyBorder="1" applyAlignment="1">
      <alignment/>
    </xf>
    <xf numFmtId="0" fontId="0" fillId="37" borderId="37" xfId="0" applyFill="1" applyBorder="1" applyAlignment="1">
      <alignment/>
    </xf>
    <xf numFmtId="0" fontId="12" fillId="37" borderId="35" xfId="0" applyFont="1" applyFill="1" applyBorder="1" applyAlignment="1">
      <alignment/>
    </xf>
    <xf numFmtId="0" fontId="0" fillId="37" borderId="35" xfId="0" applyFill="1" applyBorder="1" applyAlignment="1">
      <alignment/>
    </xf>
    <xf numFmtId="2" fontId="12" fillId="37" borderId="35" xfId="0" applyNumberFormat="1" applyFont="1" applyFill="1" applyBorder="1" applyAlignment="1">
      <alignment/>
    </xf>
    <xf numFmtId="0" fontId="4" fillId="37" borderId="35" xfId="0" applyFont="1" applyFill="1" applyBorder="1" applyAlignment="1">
      <alignment/>
    </xf>
    <xf numFmtId="4" fontId="12" fillId="37" borderId="35" xfId="55" applyNumberFormat="1" applyFont="1" applyFill="1" applyBorder="1" applyAlignment="1">
      <alignment/>
    </xf>
    <xf numFmtId="0" fontId="4" fillId="37" borderId="35" xfId="0" applyFont="1" applyFill="1" applyBorder="1" applyAlignment="1">
      <alignment horizontal="left"/>
    </xf>
    <xf numFmtId="0" fontId="0" fillId="37" borderId="43" xfId="0" applyFill="1" applyBorder="1" applyAlignment="1">
      <alignment/>
    </xf>
    <xf numFmtId="3" fontId="0" fillId="37" borderId="14" xfId="0" applyNumberFormat="1" applyFont="1" applyFill="1" applyBorder="1" applyAlignment="1">
      <alignment/>
    </xf>
    <xf numFmtId="174" fontId="0" fillId="37" borderId="10" xfId="0" applyNumberFormat="1" applyFill="1" applyBorder="1" applyAlignment="1">
      <alignment/>
    </xf>
    <xf numFmtId="174" fontId="0" fillId="37" borderId="15" xfId="0" applyNumberFormat="1" applyFill="1" applyBorder="1" applyAlignment="1">
      <alignment/>
    </xf>
    <xf numFmtId="177" fontId="0" fillId="37" borderId="0" xfId="0" applyNumberFormat="1" applyFill="1" applyBorder="1" applyAlignment="1">
      <alignment/>
    </xf>
    <xf numFmtId="3" fontId="0" fillId="37" borderId="0" xfId="0" applyNumberFormat="1" applyFill="1" applyAlignment="1">
      <alignment/>
    </xf>
    <xf numFmtId="181" fontId="0" fillId="37" borderId="35" xfId="0" applyNumberFormat="1" applyFill="1" applyBorder="1" applyAlignment="1">
      <alignment/>
    </xf>
    <xf numFmtId="174" fontId="0" fillId="37" borderId="35" xfId="0" applyNumberFormat="1" applyFill="1" applyBorder="1" applyAlignment="1">
      <alignment/>
    </xf>
    <xf numFmtId="0" fontId="0" fillId="16" borderId="0" xfId="0" applyFill="1" applyAlignment="1">
      <alignment horizontal="center"/>
    </xf>
    <xf numFmtId="0" fontId="0" fillId="16" borderId="0" xfId="0" applyFill="1" applyAlignment="1">
      <alignment horizontal="right"/>
    </xf>
    <xf numFmtId="0" fontId="0" fillId="16" borderId="0" xfId="0" applyFill="1" applyAlignment="1">
      <alignment horizontal="left"/>
    </xf>
    <xf numFmtId="0" fontId="0" fillId="16" borderId="0" xfId="0" applyFill="1" applyAlignment="1">
      <alignment horizontal="center" vertical="center"/>
    </xf>
    <xf numFmtId="0" fontId="0" fillId="16" borderId="44" xfId="0" applyFill="1" applyBorder="1" applyAlignment="1">
      <alignment horizontal="center" vertical="center"/>
    </xf>
    <xf numFmtId="0" fontId="0" fillId="16" borderId="11" xfId="0" applyFill="1" applyBorder="1" applyAlignment="1">
      <alignment/>
    </xf>
    <xf numFmtId="0" fontId="0" fillId="16" borderId="45" xfId="0" applyFill="1" applyBorder="1" applyAlignment="1">
      <alignment/>
    </xf>
    <xf numFmtId="0" fontId="0" fillId="16" borderId="46" xfId="0" applyFill="1" applyBorder="1" applyAlignment="1">
      <alignment/>
    </xf>
    <xf numFmtId="0" fontId="3" fillId="16" borderId="11" xfId="0" applyFont="1" applyFill="1" applyBorder="1" applyAlignment="1">
      <alignment/>
    </xf>
    <xf numFmtId="0" fontId="3" fillId="16" borderId="0" xfId="0" applyFont="1" applyFill="1" applyBorder="1" applyAlignment="1">
      <alignment/>
    </xf>
    <xf numFmtId="2" fontId="3" fillId="16" borderId="0" xfId="0" applyNumberFormat="1" applyFont="1" applyFill="1" applyBorder="1" applyAlignment="1">
      <alignment/>
    </xf>
    <xf numFmtId="0" fontId="3" fillId="16" borderId="0" xfId="0" applyFont="1" applyFill="1" applyBorder="1" applyAlignment="1">
      <alignment/>
    </xf>
    <xf numFmtId="0" fontId="0" fillId="16" borderId="46" xfId="0" applyFill="1" applyBorder="1" applyAlignment="1">
      <alignment horizontal="center" vertical="center" wrapText="1"/>
    </xf>
    <xf numFmtId="49" fontId="0" fillId="16" borderId="0" xfId="0" applyNumberFormat="1" applyFill="1" applyAlignment="1">
      <alignment horizontal="center" vertical="center" wrapText="1"/>
    </xf>
    <xf numFmtId="0" fontId="0" fillId="16" borderId="0" xfId="0" applyFill="1" applyAlignment="1">
      <alignment horizontal="center" vertical="center" wrapText="1"/>
    </xf>
    <xf numFmtId="0" fontId="16" fillId="16" borderId="11" xfId="0" applyFont="1" applyFill="1" applyBorder="1" applyAlignment="1">
      <alignment/>
    </xf>
    <xf numFmtId="2" fontId="16" fillId="16" borderId="0" xfId="0" applyNumberFormat="1" applyFont="1" applyFill="1" applyBorder="1" applyAlignment="1">
      <alignment/>
    </xf>
    <xf numFmtId="0" fontId="16" fillId="16" borderId="0" xfId="0" applyFont="1" applyFill="1" applyBorder="1" applyAlignment="1">
      <alignment/>
    </xf>
    <xf numFmtId="0" fontId="0" fillId="16" borderId="37" xfId="0" applyFill="1" applyBorder="1" applyAlignment="1">
      <alignment/>
    </xf>
    <xf numFmtId="0" fontId="0" fillId="16" borderId="35" xfId="0" applyFill="1" applyBorder="1" applyAlignment="1">
      <alignment/>
    </xf>
    <xf numFmtId="0" fontId="0" fillId="16" borderId="47" xfId="0" applyFill="1" applyBorder="1" applyAlignment="1">
      <alignment/>
    </xf>
    <xf numFmtId="0" fontId="0" fillId="16" borderId="48" xfId="0" applyFill="1" applyBorder="1" applyAlignment="1">
      <alignment/>
    </xf>
    <xf numFmtId="0" fontId="0" fillId="16" borderId="14" xfId="0" applyFill="1" applyBorder="1" applyAlignment="1">
      <alignment horizontal="center" vertical="center"/>
    </xf>
    <xf numFmtId="0" fontId="0" fillId="16" borderId="10" xfId="0" applyFill="1" applyBorder="1" applyAlignment="1">
      <alignment horizontal="right" vertical="center"/>
    </xf>
    <xf numFmtId="0" fontId="0" fillId="16" borderId="10" xfId="0" applyFill="1" applyBorder="1" applyAlignment="1">
      <alignment horizontal="left" vertical="center"/>
    </xf>
    <xf numFmtId="0" fontId="0" fillId="16" borderId="15" xfId="0" applyFill="1" applyBorder="1" applyAlignment="1">
      <alignment horizontal="center" vertical="center"/>
    </xf>
    <xf numFmtId="0" fontId="0" fillId="16" borderId="11" xfId="0" applyFill="1" applyBorder="1" applyAlignment="1">
      <alignment horizontal="center"/>
    </xf>
    <xf numFmtId="11" fontId="0" fillId="16" borderId="0" xfId="0" applyNumberFormat="1" applyFill="1" applyBorder="1" applyAlignment="1">
      <alignment horizontal="right"/>
    </xf>
    <xf numFmtId="0" fontId="0" fillId="16" borderId="0" xfId="0" applyFill="1" applyBorder="1" applyAlignment="1">
      <alignment horizontal="left"/>
    </xf>
    <xf numFmtId="0" fontId="0" fillId="16" borderId="12" xfId="0" applyFill="1" applyBorder="1" applyAlignment="1">
      <alignment/>
    </xf>
    <xf numFmtId="168" fontId="0" fillId="16" borderId="0" xfId="0" applyNumberFormat="1" applyFill="1" applyBorder="1" applyAlignment="1">
      <alignment horizontal="right"/>
    </xf>
    <xf numFmtId="0" fontId="0" fillId="16" borderId="0" xfId="0" applyFill="1" applyBorder="1" applyAlignment="1">
      <alignment horizontal="right"/>
    </xf>
    <xf numFmtId="0" fontId="0" fillId="16" borderId="11" xfId="0" applyFill="1" applyBorder="1" applyAlignment="1">
      <alignment horizontal="center" vertical="center"/>
    </xf>
    <xf numFmtId="168" fontId="0" fillId="16" borderId="0" xfId="0" applyNumberFormat="1" applyFill="1" applyBorder="1" applyAlignment="1">
      <alignment horizontal="right" vertical="center"/>
    </xf>
    <xf numFmtId="0" fontId="0" fillId="16" borderId="0" xfId="0" applyFill="1" applyBorder="1" applyAlignment="1">
      <alignment horizontal="left" vertical="center"/>
    </xf>
    <xf numFmtId="0" fontId="0" fillId="16" borderId="12" xfId="0" applyFill="1" applyBorder="1" applyAlignment="1">
      <alignment horizontal="center" vertical="center"/>
    </xf>
    <xf numFmtId="174" fontId="0" fillId="16" borderId="0" xfId="0" applyNumberFormat="1" applyFill="1" applyBorder="1" applyAlignment="1">
      <alignment horizontal="right"/>
    </xf>
    <xf numFmtId="0" fontId="0" fillId="16" borderId="37" xfId="0" applyFill="1" applyBorder="1" applyAlignment="1">
      <alignment horizontal="center"/>
    </xf>
    <xf numFmtId="0" fontId="0" fillId="16" borderId="35" xfId="0" applyFill="1" applyBorder="1" applyAlignment="1">
      <alignment horizontal="right"/>
    </xf>
    <xf numFmtId="0" fontId="0" fillId="16" borderId="35" xfId="0" applyFill="1" applyBorder="1" applyAlignment="1">
      <alignment horizontal="left"/>
    </xf>
    <xf numFmtId="0" fontId="0" fillId="16" borderId="43" xfId="0" applyFill="1" applyBorder="1" applyAlignment="1">
      <alignment/>
    </xf>
    <xf numFmtId="0" fontId="64" fillId="41" borderId="49" xfId="0" applyFont="1" applyFill="1" applyBorder="1" applyAlignment="1">
      <alignment/>
    </xf>
    <xf numFmtId="0" fontId="65" fillId="41" borderId="50" xfId="0" applyFont="1" applyFill="1" applyBorder="1" applyAlignment="1">
      <alignment/>
    </xf>
    <xf numFmtId="0" fontId="65" fillId="41" borderId="51" xfId="0" applyFont="1" applyFill="1" applyBorder="1" applyAlignment="1">
      <alignment horizontal="center" vertical="center"/>
    </xf>
    <xf numFmtId="0" fontId="0" fillId="7" borderId="0" xfId="0" applyFill="1" applyAlignment="1">
      <alignment/>
    </xf>
    <xf numFmtId="49" fontId="0" fillId="7" borderId="0" xfId="0" applyNumberFormat="1" applyFont="1" applyFill="1" applyAlignment="1">
      <alignment horizontal="distributed" vertical="center" wrapText="1"/>
    </xf>
    <xf numFmtId="0" fontId="0" fillId="7" borderId="35" xfId="0" applyFill="1" applyBorder="1" applyAlignment="1">
      <alignment/>
    </xf>
    <xf numFmtId="3" fontId="0" fillId="7" borderId="52" xfId="0" applyNumberFormat="1" applyFill="1" applyBorder="1" applyAlignment="1">
      <alignment/>
    </xf>
    <xf numFmtId="3" fontId="0" fillId="7" borderId="33" xfId="0" applyNumberFormat="1" applyFill="1" applyBorder="1" applyAlignment="1">
      <alignment/>
    </xf>
    <xf numFmtId="3" fontId="0" fillId="7" borderId="36" xfId="0" applyNumberFormat="1" applyFill="1" applyBorder="1" applyAlignment="1">
      <alignment/>
    </xf>
    <xf numFmtId="0" fontId="0" fillId="7" borderId="33" xfId="0" applyFill="1" applyBorder="1" applyAlignment="1">
      <alignment/>
    </xf>
    <xf numFmtId="0" fontId="0" fillId="7" borderId="53" xfId="0" applyFill="1" applyBorder="1" applyAlignment="1">
      <alignment/>
    </xf>
    <xf numFmtId="3" fontId="0" fillId="7" borderId="0" xfId="0" applyNumberFormat="1" applyFill="1" applyAlignment="1">
      <alignment/>
    </xf>
    <xf numFmtId="49" fontId="0" fillId="37" borderId="54" xfId="0" applyNumberFormat="1" applyFont="1" applyFill="1" applyBorder="1" applyAlignment="1">
      <alignment horizontal="distributed" vertical="center" wrapText="1"/>
    </xf>
    <xf numFmtId="3" fontId="0" fillId="37" borderId="55" xfId="0" applyNumberFormat="1" applyFill="1" applyBorder="1" applyAlignment="1">
      <alignment/>
    </xf>
    <xf numFmtId="0" fontId="0" fillId="37" borderId="55" xfId="0" applyFill="1" applyBorder="1" applyAlignment="1">
      <alignment/>
    </xf>
    <xf numFmtId="0" fontId="0" fillId="37" borderId="23" xfId="0" applyFill="1" applyBorder="1" applyAlignment="1">
      <alignment/>
    </xf>
    <xf numFmtId="3" fontId="3" fillId="4" borderId="56" xfId="0" applyNumberFormat="1" applyFont="1" applyFill="1" applyBorder="1" applyAlignment="1">
      <alignment/>
    </xf>
    <xf numFmtId="168" fontId="0" fillId="4" borderId="57" xfId="0" applyNumberFormat="1" applyFill="1" applyBorder="1" applyAlignment="1">
      <alignment/>
    </xf>
    <xf numFmtId="3" fontId="0" fillId="4" borderId="57" xfId="0" applyNumberFormat="1" applyFill="1" applyBorder="1" applyAlignment="1">
      <alignment/>
    </xf>
    <xf numFmtId="0" fontId="0" fillId="4" borderId="57" xfId="0" applyFill="1" applyBorder="1" applyAlignment="1">
      <alignment/>
    </xf>
    <xf numFmtId="1" fontId="3" fillId="4" borderId="56" xfId="0" applyNumberFormat="1" applyFont="1" applyFill="1" applyBorder="1" applyAlignment="1">
      <alignment/>
    </xf>
    <xf numFmtId="174" fontId="0" fillId="4" borderId="57" xfId="0" applyNumberFormat="1" applyFill="1" applyBorder="1" applyAlignment="1">
      <alignment/>
    </xf>
    <xf numFmtId="0" fontId="0" fillId="4" borderId="58" xfId="0" applyFill="1" applyBorder="1" applyAlignment="1">
      <alignment/>
    </xf>
    <xf numFmtId="0" fontId="0" fillId="4" borderId="59" xfId="0" applyFill="1" applyBorder="1" applyAlignment="1">
      <alignment/>
    </xf>
    <xf numFmtId="3" fontId="0" fillId="4" borderId="59" xfId="0" applyNumberFormat="1" applyFill="1" applyBorder="1" applyAlignment="1">
      <alignment/>
    </xf>
    <xf numFmtId="3" fontId="0" fillId="3" borderId="0" xfId="0" applyNumberFormat="1" applyFont="1" applyFill="1" applyBorder="1" applyAlignment="1">
      <alignment wrapText="1"/>
    </xf>
    <xf numFmtId="3" fontId="0" fillId="3" borderId="0" xfId="0" applyNumberFormat="1" applyFont="1" applyFill="1" applyBorder="1" applyAlignment="1">
      <alignment horizontal="right" wrapText="1"/>
    </xf>
    <xf numFmtId="0" fontId="0" fillId="3" borderId="0" xfId="0" applyFont="1" applyFill="1" applyBorder="1" applyAlignment="1">
      <alignment wrapText="1"/>
    </xf>
    <xf numFmtId="49" fontId="0" fillId="3" borderId="0" xfId="0" applyNumberFormat="1" applyFont="1" applyFill="1" applyBorder="1" applyAlignment="1">
      <alignment wrapText="1"/>
    </xf>
    <xf numFmtId="171" fontId="0" fillId="3" borderId="0" xfId="55" applyNumberFormat="1" applyFont="1" applyFill="1" applyBorder="1" applyAlignment="1">
      <alignment horizontal="right" wrapText="1"/>
    </xf>
    <xf numFmtId="177" fontId="0" fillId="3" borderId="0" xfId="0" applyNumberFormat="1" applyFont="1" applyFill="1" applyBorder="1" applyAlignment="1">
      <alignment horizontal="right" wrapText="1"/>
    </xf>
    <xf numFmtId="173" fontId="0" fillId="3" borderId="0" xfId="0" applyNumberFormat="1" applyFont="1" applyFill="1" applyBorder="1" applyAlignment="1">
      <alignment horizontal="right" wrapText="1"/>
    </xf>
    <xf numFmtId="9" fontId="0" fillId="3" borderId="0" xfId="55" applyNumberFormat="1" applyFont="1" applyFill="1" applyBorder="1" applyAlignment="1">
      <alignment wrapText="1"/>
    </xf>
    <xf numFmtId="1" fontId="0" fillId="3" borderId="0" xfId="55" applyNumberFormat="1" applyFont="1" applyFill="1" applyBorder="1" applyAlignment="1">
      <alignment horizontal="right" wrapText="1"/>
    </xf>
    <xf numFmtId="3" fontId="0" fillId="3" borderId="0" xfId="55" applyNumberFormat="1" applyFont="1" applyFill="1" applyBorder="1" applyAlignment="1">
      <alignment horizontal="right" wrapText="1"/>
    </xf>
    <xf numFmtId="185" fontId="0" fillId="3" borderId="0" xfId="55" applyNumberFormat="1" applyFont="1" applyFill="1" applyBorder="1" applyAlignment="1">
      <alignment horizontal="right" wrapText="1"/>
    </xf>
    <xf numFmtId="0" fontId="12" fillId="3" borderId="38" xfId="0" applyFont="1" applyFill="1" applyBorder="1" applyAlignment="1">
      <alignment wrapText="1"/>
    </xf>
    <xf numFmtId="0" fontId="12" fillId="3" borderId="0" xfId="0" applyFont="1" applyFill="1" applyAlignment="1">
      <alignment wrapText="1"/>
    </xf>
    <xf numFmtId="0" fontId="12" fillId="3" borderId="0" xfId="0" applyFont="1" applyFill="1" applyAlignment="1">
      <alignment horizontal="right" wrapText="1"/>
    </xf>
    <xf numFmtId="3" fontId="12" fillId="3" borderId="0" xfId="0" applyNumberFormat="1" applyFont="1" applyFill="1" applyBorder="1" applyAlignment="1">
      <alignment wrapText="1"/>
    </xf>
    <xf numFmtId="0" fontId="0" fillId="3" borderId="0" xfId="0" applyFill="1" applyAlignment="1">
      <alignment/>
    </xf>
    <xf numFmtId="0" fontId="12" fillId="3" borderId="0" xfId="0" applyFont="1" applyFill="1" applyAlignment="1">
      <alignment/>
    </xf>
    <xf numFmtId="0" fontId="12" fillId="3" borderId="0" xfId="0" applyFont="1" applyFill="1" applyAlignment="1">
      <alignment horizontal="right"/>
    </xf>
    <xf numFmtId="3" fontId="3" fillId="42" borderId="38" xfId="0" applyNumberFormat="1" applyFont="1" applyFill="1" applyBorder="1" applyAlignment="1">
      <alignment wrapText="1"/>
    </xf>
    <xf numFmtId="3" fontId="3" fillId="42" borderId="0" xfId="0" applyNumberFormat="1" applyFont="1" applyFill="1" applyBorder="1" applyAlignment="1">
      <alignment horizontal="center" wrapText="1"/>
    </xf>
    <xf numFmtId="3" fontId="3" fillId="42" borderId="11" xfId="0" applyNumberFormat="1" applyFont="1" applyFill="1" applyBorder="1" applyAlignment="1">
      <alignment wrapText="1"/>
    </xf>
    <xf numFmtId="3" fontId="3" fillId="42" borderId="12" xfId="0" applyNumberFormat="1" applyFont="1" applyFill="1" applyBorder="1" applyAlignment="1">
      <alignment horizontal="center" wrapText="1"/>
    </xf>
    <xf numFmtId="3" fontId="0" fillId="3" borderId="11" xfId="0" applyNumberFormat="1" applyFont="1" applyFill="1" applyBorder="1" applyAlignment="1">
      <alignment wrapText="1"/>
    </xf>
    <xf numFmtId="3" fontId="0" fillId="3" borderId="12" xfId="0" applyNumberFormat="1" applyFont="1" applyFill="1" applyBorder="1" applyAlignment="1">
      <alignment wrapText="1"/>
    </xf>
    <xf numFmtId="0" fontId="0" fillId="3" borderId="11" xfId="0" applyFont="1" applyFill="1" applyBorder="1" applyAlignment="1">
      <alignment wrapText="1"/>
    </xf>
    <xf numFmtId="9" fontId="0" fillId="3" borderId="12" xfId="0" applyNumberFormat="1" applyFont="1" applyFill="1" applyBorder="1" applyAlignment="1">
      <alignment wrapText="1"/>
    </xf>
    <xf numFmtId="49" fontId="0" fillId="3" borderId="11" xfId="0" applyNumberFormat="1" applyFont="1" applyFill="1" applyBorder="1" applyAlignment="1">
      <alignment wrapText="1"/>
    </xf>
    <xf numFmtId="3" fontId="0" fillId="3" borderId="12" xfId="50" applyNumberFormat="1" applyFont="1" applyFill="1" applyBorder="1" applyAlignment="1">
      <alignment wrapText="1"/>
    </xf>
    <xf numFmtId="3" fontId="0" fillId="3" borderId="0" xfId="0" applyNumberFormat="1" applyFont="1" applyFill="1" applyBorder="1" applyAlignment="1">
      <alignment horizontal="right"/>
    </xf>
    <xf numFmtId="0" fontId="0" fillId="3" borderId="12" xfId="0" applyFont="1" applyFill="1" applyBorder="1" applyAlignment="1">
      <alignment/>
    </xf>
    <xf numFmtId="0" fontId="0" fillId="3" borderId="12" xfId="0" applyNumberFormat="1" applyFont="1" applyFill="1" applyBorder="1" applyAlignment="1">
      <alignment wrapText="1"/>
    </xf>
    <xf numFmtId="0" fontId="0" fillId="3" borderId="37" xfId="0" applyFont="1" applyFill="1" applyBorder="1" applyAlignment="1">
      <alignment wrapText="1"/>
    </xf>
    <xf numFmtId="49" fontId="0" fillId="3" borderId="35" xfId="0" applyNumberFormat="1" applyFont="1" applyFill="1" applyBorder="1" applyAlignment="1">
      <alignment wrapText="1"/>
    </xf>
    <xf numFmtId="3" fontId="0" fillId="3" borderId="35" xfId="55" applyNumberFormat="1" applyFont="1" applyFill="1" applyBorder="1" applyAlignment="1">
      <alignment horizontal="right" wrapText="1"/>
    </xf>
    <xf numFmtId="3" fontId="0" fillId="3" borderId="43" xfId="0" applyNumberFormat="1" applyFont="1" applyFill="1" applyBorder="1" applyAlignment="1">
      <alignment wrapText="1"/>
    </xf>
    <xf numFmtId="3" fontId="6" fillId="42" borderId="0" xfId="0" applyNumberFormat="1" applyFont="1" applyFill="1" applyBorder="1" applyAlignment="1">
      <alignment wrapText="1"/>
    </xf>
    <xf numFmtId="3" fontId="3" fillId="42" borderId="0" xfId="0" applyNumberFormat="1" applyFont="1" applyFill="1" applyBorder="1" applyAlignment="1">
      <alignment horizontal="right" wrapText="1"/>
    </xf>
    <xf numFmtId="3" fontId="3" fillId="42" borderId="12" xfId="0" applyNumberFormat="1" applyFont="1" applyFill="1" applyBorder="1" applyAlignment="1">
      <alignment wrapText="1"/>
    </xf>
    <xf numFmtId="0" fontId="0" fillId="42" borderId="11" xfId="0" applyFont="1" applyFill="1" applyBorder="1" applyAlignment="1">
      <alignment wrapText="1"/>
    </xf>
    <xf numFmtId="0" fontId="0" fillId="42" borderId="0" xfId="0" applyFont="1" applyFill="1" applyBorder="1" applyAlignment="1">
      <alignment wrapText="1"/>
    </xf>
    <xf numFmtId="0" fontId="0" fillId="42" borderId="0" xfId="0" applyFont="1" applyFill="1" applyBorder="1" applyAlignment="1">
      <alignment horizontal="right" wrapText="1"/>
    </xf>
    <xf numFmtId="0" fontId="0" fillId="42" borderId="12" xfId="0" applyFont="1" applyFill="1" applyBorder="1" applyAlignment="1">
      <alignment wrapText="1"/>
    </xf>
    <xf numFmtId="0" fontId="0" fillId="13" borderId="0" xfId="0" applyFill="1" applyBorder="1" applyAlignment="1">
      <alignment/>
    </xf>
    <xf numFmtId="0" fontId="0" fillId="3" borderId="0" xfId="0" applyFill="1" applyBorder="1" applyAlignment="1">
      <alignment/>
    </xf>
    <xf numFmtId="0" fontId="0" fillId="13" borderId="10" xfId="0" applyFill="1" applyBorder="1" applyAlignment="1">
      <alignment/>
    </xf>
    <xf numFmtId="4" fontId="12" fillId="13" borderId="10" xfId="0" applyNumberFormat="1" applyFont="1" applyFill="1" applyBorder="1" applyAlignment="1">
      <alignment/>
    </xf>
    <xf numFmtId="0" fontId="0" fillId="13" borderId="15" xfId="0" applyFill="1" applyBorder="1" applyAlignment="1">
      <alignment/>
    </xf>
    <xf numFmtId="0" fontId="0" fillId="37" borderId="0" xfId="0" applyFill="1" applyBorder="1" applyAlignment="1">
      <alignment horizontal="right"/>
    </xf>
    <xf numFmtId="2" fontId="0" fillId="37" borderId="0" xfId="0" applyNumberFormat="1" applyFill="1" applyBorder="1" applyAlignment="1">
      <alignment/>
    </xf>
    <xf numFmtId="0" fontId="0" fillId="13" borderId="12" xfId="0" applyFill="1" applyBorder="1" applyAlignment="1">
      <alignment/>
    </xf>
    <xf numFmtId="10" fontId="0" fillId="13" borderId="0" xfId="0" applyNumberFormat="1" applyFill="1" applyBorder="1" applyAlignment="1">
      <alignment/>
    </xf>
    <xf numFmtId="3" fontId="0" fillId="13" borderId="0" xfId="0" applyNumberFormat="1" applyFill="1" applyBorder="1" applyAlignment="1">
      <alignment/>
    </xf>
    <xf numFmtId="0" fontId="3" fillId="13" borderId="0" xfId="0" applyFont="1" applyFill="1" applyBorder="1" applyAlignment="1">
      <alignment/>
    </xf>
    <xf numFmtId="2" fontId="3" fillId="13" borderId="0" xfId="0" applyNumberFormat="1" applyFont="1" applyFill="1" applyBorder="1" applyAlignment="1">
      <alignment/>
    </xf>
    <xf numFmtId="4" fontId="0" fillId="13" borderId="0" xfId="0" applyNumberFormat="1" applyFill="1" applyBorder="1" applyAlignment="1">
      <alignment/>
    </xf>
    <xf numFmtId="182" fontId="0" fillId="37" borderId="0" xfId="46" applyNumberFormat="1" applyFont="1" applyFill="1" applyBorder="1" applyAlignment="1">
      <alignment/>
    </xf>
    <xf numFmtId="10" fontId="0" fillId="37" borderId="0" xfId="0" applyNumberFormat="1" applyFill="1" applyBorder="1" applyAlignment="1">
      <alignment/>
    </xf>
    <xf numFmtId="168" fontId="0" fillId="37" borderId="0" xfId="0" applyNumberFormat="1" applyFill="1" applyBorder="1" applyAlignment="1">
      <alignment/>
    </xf>
    <xf numFmtId="170" fontId="0" fillId="37" borderId="0" xfId="46" applyFont="1" applyFill="1" applyBorder="1" applyAlignment="1">
      <alignment/>
    </xf>
    <xf numFmtId="180" fontId="0" fillId="37" borderId="0" xfId="0" applyNumberFormat="1" applyFill="1" applyBorder="1" applyAlignment="1">
      <alignment/>
    </xf>
    <xf numFmtId="184" fontId="0" fillId="37" borderId="0" xfId="0" applyNumberFormat="1" applyFill="1" applyBorder="1" applyAlignment="1">
      <alignment/>
    </xf>
    <xf numFmtId="1" fontId="0" fillId="37" borderId="0" xfId="0" applyNumberFormat="1" applyFill="1" applyBorder="1" applyAlignment="1">
      <alignment/>
    </xf>
    <xf numFmtId="0" fontId="0" fillId="43" borderId="0" xfId="0" applyFill="1" applyBorder="1" applyAlignment="1">
      <alignment/>
    </xf>
    <xf numFmtId="0" fontId="0" fillId="43" borderId="12" xfId="0" applyFill="1" applyBorder="1" applyAlignment="1">
      <alignment/>
    </xf>
    <xf numFmtId="0" fontId="4" fillId="43" borderId="11" xfId="0" applyFont="1" applyFill="1" applyBorder="1" applyAlignment="1">
      <alignment/>
    </xf>
    <xf numFmtId="0" fontId="4" fillId="13" borderId="14" xfId="0" applyFont="1" applyFill="1" applyBorder="1" applyAlignment="1">
      <alignment/>
    </xf>
    <xf numFmtId="0" fontId="0" fillId="37" borderId="11" xfId="0" applyFont="1" applyFill="1" applyBorder="1" applyAlignment="1">
      <alignment/>
    </xf>
    <xf numFmtId="0" fontId="4" fillId="13" borderId="11" xfId="0" applyNumberFormat="1" applyFont="1" applyFill="1" applyBorder="1" applyAlignment="1">
      <alignment/>
    </xf>
    <xf numFmtId="0" fontId="0" fillId="13" borderId="11" xfId="0" applyFont="1" applyFill="1" applyBorder="1" applyAlignment="1">
      <alignment/>
    </xf>
    <xf numFmtId="0" fontId="0" fillId="37" borderId="0" xfId="0" applyFont="1" applyFill="1" applyBorder="1" applyAlignment="1">
      <alignment/>
    </xf>
    <xf numFmtId="0" fontId="3" fillId="13" borderId="11" xfId="0" applyFont="1" applyFill="1" applyBorder="1" applyAlignment="1">
      <alignment/>
    </xf>
    <xf numFmtId="0" fontId="3" fillId="13" borderId="0" xfId="0" applyFont="1" applyFill="1" applyBorder="1" applyAlignment="1">
      <alignment/>
    </xf>
    <xf numFmtId="0" fontId="0" fillId="13" borderId="0" xfId="0" applyFont="1" applyFill="1" applyBorder="1" applyAlignment="1">
      <alignment/>
    </xf>
    <xf numFmtId="0" fontId="0" fillId="13" borderId="12" xfId="0" applyFont="1" applyFill="1" applyBorder="1" applyAlignment="1">
      <alignment/>
    </xf>
    <xf numFmtId="0" fontId="0" fillId="35" borderId="43" xfId="0" applyFill="1" applyBorder="1" applyAlignment="1">
      <alignment/>
    </xf>
    <xf numFmtId="0" fontId="3" fillId="3" borderId="37" xfId="0" applyFont="1" applyFill="1" applyBorder="1" applyAlignment="1">
      <alignment wrapText="1"/>
    </xf>
    <xf numFmtId="0" fontId="3" fillId="3" borderId="35" xfId="0" applyFont="1" applyFill="1" applyBorder="1" applyAlignment="1">
      <alignment wrapText="1"/>
    </xf>
    <xf numFmtId="38" fontId="3" fillId="3" borderId="35" xfId="0" applyNumberFormat="1" applyFont="1" applyFill="1" applyBorder="1" applyAlignment="1">
      <alignment horizontal="right" wrapText="1"/>
    </xf>
    <xf numFmtId="9" fontId="3" fillId="3" borderId="43" xfId="0" applyNumberFormat="1" applyFont="1" applyFill="1" applyBorder="1" applyAlignment="1">
      <alignment wrapText="1"/>
    </xf>
    <xf numFmtId="0" fontId="0" fillId="37" borderId="0" xfId="0" applyFill="1" applyAlignment="1">
      <alignment horizontal="left"/>
    </xf>
    <xf numFmtId="0" fontId="67" fillId="37" borderId="0" xfId="0" applyFont="1" applyFill="1" applyAlignment="1">
      <alignment/>
    </xf>
    <xf numFmtId="0" fontId="3" fillId="37" borderId="0" xfId="0" applyFont="1" applyFill="1" applyAlignment="1">
      <alignment/>
    </xf>
    <xf numFmtId="1" fontId="0" fillId="37" borderId="0" xfId="0" applyNumberFormat="1" applyFill="1" applyAlignment="1">
      <alignment/>
    </xf>
    <xf numFmtId="9" fontId="0" fillId="37" borderId="0" xfId="0" applyNumberFormat="1" applyFill="1" applyAlignment="1">
      <alignment/>
    </xf>
    <xf numFmtId="0" fontId="0" fillId="37" borderId="38" xfId="0" applyFill="1" applyBorder="1" applyAlignment="1">
      <alignment/>
    </xf>
    <xf numFmtId="0" fontId="0" fillId="37" borderId="0" xfId="0" applyFill="1" applyBorder="1" applyAlignment="1">
      <alignment/>
    </xf>
    <xf numFmtId="0" fontId="0" fillId="37" borderId="0" xfId="0" applyFill="1" applyAlignment="1">
      <alignment/>
    </xf>
    <xf numFmtId="0" fontId="0" fillId="37" borderId="39" xfId="0" applyFill="1" applyBorder="1" applyAlignment="1">
      <alignment/>
    </xf>
    <xf numFmtId="0" fontId="0" fillId="37" borderId="24" xfId="0" applyFill="1" applyBorder="1" applyAlignment="1">
      <alignment/>
    </xf>
    <xf numFmtId="0" fontId="0" fillId="37" borderId="13" xfId="0" applyFill="1" applyBorder="1" applyAlignment="1">
      <alignment/>
    </xf>
    <xf numFmtId="0" fontId="0" fillId="37" borderId="40" xfId="0" applyFill="1" applyBorder="1" applyAlignment="1">
      <alignment/>
    </xf>
    <xf numFmtId="0" fontId="7" fillId="44" borderId="60" xfId="0" applyFont="1" applyFill="1" applyBorder="1" applyAlignment="1">
      <alignment/>
    </xf>
    <xf numFmtId="0" fontId="7" fillId="44" borderId="61" xfId="0" applyFont="1" applyFill="1" applyBorder="1" applyAlignment="1">
      <alignment/>
    </xf>
    <xf numFmtId="0" fontId="8" fillId="44" borderId="61" xfId="0" applyFont="1" applyFill="1" applyBorder="1" applyAlignment="1">
      <alignment/>
    </xf>
    <xf numFmtId="0" fontId="8" fillId="44" borderId="41" xfId="0" applyFont="1" applyFill="1" applyBorder="1" applyAlignment="1">
      <alignment/>
    </xf>
    <xf numFmtId="0" fontId="7" fillId="44" borderId="16" xfId="0" applyFont="1" applyFill="1" applyBorder="1" applyAlignment="1">
      <alignment/>
    </xf>
    <xf numFmtId="0" fontId="8" fillId="44" borderId="16" xfId="0" applyFont="1" applyFill="1" applyBorder="1" applyAlignment="1">
      <alignment/>
    </xf>
    <xf numFmtId="0" fontId="8" fillId="44" borderId="17" xfId="0" applyFont="1" applyFill="1" applyBorder="1" applyAlignment="1">
      <alignment/>
    </xf>
    <xf numFmtId="0" fontId="7" fillId="44" borderId="18" xfId="0" applyFont="1" applyFill="1" applyBorder="1" applyAlignment="1">
      <alignment/>
    </xf>
    <xf numFmtId="0" fontId="7" fillId="44" borderId="60" xfId="0" applyFont="1" applyFill="1" applyBorder="1" applyAlignment="1">
      <alignment vertical="center"/>
    </xf>
    <xf numFmtId="0" fontId="7" fillId="44" borderId="61" xfId="0" applyFont="1" applyFill="1" applyBorder="1" applyAlignment="1">
      <alignment vertical="center"/>
    </xf>
    <xf numFmtId="0" fontId="3" fillId="44" borderId="61" xfId="0" applyFont="1" applyFill="1" applyBorder="1" applyAlignment="1">
      <alignment/>
    </xf>
    <xf numFmtId="0" fontId="0" fillId="44" borderId="61" xfId="0" applyFont="1" applyFill="1" applyBorder="1" applyAlignment="1">
      <alignment/>
    </xf>
    <xf numFmtId="0" fontId="0" fillId="32" borderId="62" xfId="0" applyFill="1" applyBorder="1" applyAlignment="1">
      <alignment/>
    </xf>
    <xf numFmtId="3" fontId="3" fillId="42" borderId="14" xfId="0" applyNumberFormat="1" applyFont="1" applyFill="1" applyBorder="1" applyAlignment="1">
      <alignment horizontal="center" wrapText="1"/>
    </xf>
    <xf numFmtId="3" fontId="3" fillId="42" borderId="10" xfId="0" applyNumberFormat="1" applyFont="1" applyFill="1" applyBorder="1" applyAlignment="1">
      <alignment horizontal="center" wrapText="1"/>
    </xf>
    <xf numFmtId="3" fontId="3" fillId="42" borderId="15" xfId="0" applyNumberFormat="1" applyFont="1" applyFill="1" applyBorder="1" applyAlignment="1">
      <alignment horizontal="center" wrapText="1"/>
    </xf>
    <xf numFmtId="0" fontId="3" fillId="32" borderId="0" xfId="0" applyFont="1" applyFill="1" applyBorder="1" applyAlignment="1">
      <alignment horizontal="center"/>
    </xf>
    <xf numFmtId="0" fontId="3" fillId="32" borderId="12" xfId="0" applyFont="1" applyFill="1" applyBorder="1" applyAlignment="1">
      <alignment horizontal="center"/>
    </xf>
    <xf numFmtId="0" fontId="0" fillId="32" borderId="35" xfId="0" applyFill="1" applyBorder="1" applyAlignment="1">
      <alignment horizontal="center"/>
    </xf>
    <xf numFmtId="0" fontId="0" fillId="32" borderId="43" xfId="0" applyFill="1" applyBorder="1" applyAlignment="1">
      <alignment horizontal="center"/>
    </xf>
    <xf numFmtId="0" fontId="4" fillId="32" borderId="10" xfId="0" applyFont="1" applyFill="1" applyBorder="1" applyAlignment="1">
      <alignment horizontal="center"/>
    </xf>
    <xf numFmtId="0" fontId="0" fillId="32" borderId="10" xfId="0" applyFill="1" applyBorder="1" applyAlignment="1">
      <alignment horizontal="center"/>
    </xf>
    <xf numFmtId="0" fontId="12" fillId="37" borderId="0" xfId="0" applyFont="1" applyFill="1" applyBorder="1" applyAlignment="1">
      <alignment/>
    </xf>
    <xf numFmtId="0" fontId="0" fillId="37" borderId="12"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dividends</a:t>
            </a:r>
          </a:p>
        </c:rich>
      </c:tx>
      <c:layout>
        <c:manualLayout>
          <c:xMode val="factor"/>
          <c:yMode val="factor"/>
          <c:x val="0.0345"/>
          <c:y val="-0.0035"/>
        </c:manualLayout>
      </c:layout>
      <c:spPr>
        <a:noFill/>
        <a:ln w="3175">
          <a:noFill/>
        </a:ln>
      </c:spPr>
    </c:title>
    <c:plotArea>
      <c:layout>
        <c:manualLayout>
          <c:xMode val="edge"/>
          <c:yMode val="edge"/>
          <c:x val="0.00325"/>
          <c:y val="0.094"/>
          <c:w val="0.98175"/>
          <c:h val="0.857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result!$G$59:$AE$59</c:f>
              <c:numCache>
                <c:ptCount val="25"/>
                <c:pt idx="0">
                  <c:v>119036.69285322251</c:v>
                </c:pt>
                <c:pt idx="1">
                  <c:v>52619.482368068144</c:v>
                </c:pt>
                <c:pt idx="2">
                  <c:v>52891.11399327975</c:v>
                </c:pt>
                <c:pt idx="3">
                  <c:v>53155.80461022109</c:v>
                </c:pt>
                <c:pt idx="4">
                  <c:v>53413.22195620159</c:v>
                </c:pt>
                <c:pt idx="5">
                  <c:v>53663.02402923423</c:v>
                </c:pt>
                <c:pt idx="6">
                  <c:v>53904.85884209983</c:v>
                </c:pt>
                <c:pt idx="7">
                  <c:v>54138.364170608496</c:v>
                </c:pt>
                <c:pt idx="8">
                  <c:v>54363.16729592587</c:v>
                </c:pt>
                <c:pt idx="9">
                  <c:v>54578.88474082884</c:v>
                </c:pt>
                <c:pt idx="10">
                  <c:v>54785.12199975286</c:v>
                </c:pt>
                <c:pt idx="11">
                  <c:v>53738.67073200597</c:v>
                </c:pt>
                <c:pt idx="12">
                  <c:v>53642.30751520714</c:v>
                </c:pt>
                <c:pt idx="13">
                  <c:v>53773.793915604365</c:v>
                </c:pt>
                <c:pt idx="14">
                  <c:v>53896.899728992736</c:v>
                </c:pt>
                <c:pt idx="15">
                  <c:v>41744.61784575393</c:v>
                </c:pt>
                <c:pt idx="16">
                  <c:v>41849.93156633696</c:v>
                </c:pt>
                <c:pt idx="17">
                  <c:v>41945.81436309451</c:v>
                </c:pt>
                <c:pt idx="18">
                  <c:v>42031.89630321252</c:v>
                </c:pt>
                <c:pt idx="19">
                  <c:v>42107.79713260615</c:v>
                </c:pt>
                <c:pt idx="20">
                  <c:v>42173.12602065332</c:v>
                </c:pt>
                <c:pt idx="21">
                  <c:v>42227.48129896637</c:v>
                </c:pt>
                <c:pt idx="22">
                  <c:v>42270.450194067016</c:v>
                </c:pt>
                <c:pt idx="23">
                  <c:v>42301.60855382662</c:v>
                </c:pt>
                <c:pt idx="24">
                  <c:v>42320.520567530155</c:v>
                </c:pt>
              </c:numCache>
            </c:numRef>
          </c:val>
          <c:smooth val="0"/>
        </c:ser>
        <c:marker val="1"/>
        <c:axId val="42089959"/>
        <c:axId val="43265312"/>
      </c:lineChart>
      <c:catAx>
        <c:axId val="420899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
              <c:y val="-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3265312"/>
        <c:crosses val="autoZero"/>
        <c:auto val="1"/>
        <c:lblOffset val="100"/>
        <c:tickLblSkip val="1"/>
        <c:noMultiLvlLbl val="0"/>
      </c:catAx>
      <c:valAx>
        <c:axId val="432653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899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DEADA"/>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Accumulated cash</a:t>
            </a:r>
          </a:p>
        </c:rich>
      </c:tx>
      <c:layout>
        <c:manualLayout>
          <c:xMode val="factor"/>
          <c:yMode val="factor"/>
          <c:x val="-0.033"/>
          <c:y val="-0.0035"/>
        </c:manualLayout>
      </c:layout>
      <c:spPr>
        <a:noFill/>
        <a:ln w="3175">
          <a:noFill/>
        </a:ln>
      </c:spPr>
    </c:title>
    <c:plotArea>
      <c:layout>
        <c:manualLayout>
          <c:xMode val="edge"/>
          <c:yMode val="edge"/>
          <c:x val="0.0115"/>
          <c:y val="0.1115"/>
          <c:w val="0.97575"/>
          <c:h val="0.795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result!$G$60:$AE$60</c:f>
              <c:numCache>
                <c:ptCount val="25"/>
                <c:pt idx="0">
                  <c:v>-734723.3071467775</c:v>
                </c:pt>
                <c:pt idx="1">
                  <c:v>-682103.8247787093</c:v>
                </c:pt>
                <c:pt idx="2">
                  <c:v>-629212.7107854296</c:v>
                </c:pt>
                <c:pt idx="3">
                  <c:v>-576056.9061752085</c:v>
                </c:pt>
                <c:pt idx="4">
                  <c:v>-522643.6842190069</c:v>
                </c:pt>
                <c:pt idx="5">
                  <c:v>-468980.66018977267</c:v>
                </c:pt>
                <c:pt idx="6">
                  <c:v>-415075.8013476728</c:v>
                </c:pt>
                <c:pt idx="7">
                  <c:v>-360937.4371770643</c:v>
                </c:pt>
                <c:pt idx="8">
                  <c:v>-306574.26988113846</c:v>
                </c:pt>
                <c:pt idx="9">
                  <c:v>-251995.38514030963</c:v>
                </c:pt>
                <c:pt idx="10">
                  <c:v>-197210.26314055678</c:v>
                </c:pt>
                <c:pt idx="11">
                  <c:v>-143471.59240855082</c:v>
                </c:pt>
                <c:pt idx="12">
                  <c:v>-89829.28489334368</c:v>
                </c:pt>
                <c:pt idx="13">
                  <c:v>-36055.49097773931</c:v>
                </c:pt>
                <c:pt idx="14">
                  <c:v>17841.408751253424</c:v>
                </c:pt>
                <c:pt idx="15">
                  <c:v>59586.02659700735</c:v>
                </c:pt>
                <c:pt idx="16">
                  <c:v>101435.95816334432</c:v>
                </c:pt>
                <c:pt idx="17">
                  <c:v>143381.7725264388</c:v>
                </c:pt>
                <c:pt idx="18">
                  <c:v>185413.66882965132</c:v>
                </c:pt>
                <c:pt idx="19">
                  <c:v>227521.46596225747</c:v>
                </c:pt>
                <c:pt idx="20">
                  <c:v>269694.59198291076</c:v>
                </c:pt>
                <c:pt idx="21">
                  <c:v>311922.07328187715</c:v>
                </c:pt>
                <c:pt idx="22">
                  <c:v>354192.5234759442</c:v>
                </c:pt>
                <c:pt idx="23">
                  <c:v>396494.1320297708</c:v>
                </c:pt>
                <c:pt idx="24">
                  <c:v>438814.65259730094</c:v>
                </c:pt>
              </c:numCache>
            </c:numRef>
          </c:val>
          <c:smooth val="0"/>
        </c:ser>
        <c:marker val="1"/>
        <c:axId val="53843489"/>
        <c:axId val="14829354"/>
      </c:lineChart>
      <c:catAx>
        <c:axId val="5384348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95"/>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4829354"/>
        <c:crosses val="autoZero"/>
        <c:auto val="1"/>
        <c:lblOffset val="100"/>
        <c:tickLblSkip val="1"/>
        <c:noMultiLvlLbl val="0"/>
      </c:catAx>
      <c:valAx>
        <c:axId val="148293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8434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DEADA"/>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xdr:row>
      <xdr:rowOff>114300</xdr:rowOff>
    </xdr:from>
    <xdr:to>
      <xdr:col>17</xdr:col>
      <xdr:colOff>152400</xdr:colOff>
      <xdr:row>22</xdr:row>
      <xdr:rowOff>133350</xdr:rowOff>
    </xdr:to>
    <xdr:graphicFrame>
      <xdr:nvGraphicFramePr>
        <xdr:cNvPr id="1" name="Chart 15"/>
        <xdr:cNvGraphicFramePr/>
      </xdr:nvGraphicFramePr>
      <xdr:xfrm>
        <a:off x="10896600" y="800100"/>
        <a:ext cx="4495800" cy="2933700"/>
      </xdr:xfrm>
      <a:graphic>
        <a:graphicData uri="http://schemas.openxmlformats.org/drawingml/2006/chart">
          <c:chart xmlns:c="http://schemas.openxmlformats.org/drawingml/2006/chart" r:id="rId1"/>
        </a:graphicData>
      </a:graphic>
    </xdr:graphicFrame>
    <xdr:clientData/>
  </xdr:twoCellAnchor>
  <xdr:twoCellAnchor>
    <xdr:from>
      <xdr:col>5</xdr:col>
      <xdr:colOff>409575</xdr:colOff>
      <xdr:row>4</xdr:row>
      <xdr:rowOff>104775</xdr:rowOff>
    </xdr:from>
    <xdr:to>
      <xdr:col>10</xdr:col>
      <xdr:colOff>742950</xdr:colOff>
      <xdr:row>22</xdr:row>
      <xdr:rowOff>133350</xdr:rowOff>
    </xdr:to>
    <xdr:graphicFrame>
      <xdr:nvGraphicFramePr>
        <xdr:cNvPr id="2" name="Chart 16"/>
        <xdr:cNvGraphicFramePr/>
      </xdr:nvGraphicFramePr>
      <xdr:xfrm>
        <a:off x="6191250" y="790575"/>
        <a:ext cx="4410075" cy="29432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Downloads\WINDOWS\TEMP\c.lotus.notes.data\Datei%20f&#252;r%20nicht%20l&#246;schbare%20Verkn&#252;pf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i für nicht löschbare Verkn"/>
      <sheetName val="Fin+In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3"/>
  <dimension ref="B1:AD511"/>
  <sheetViews>
    <sheetView zoomScale="60" zoomScaleNormal="60" zoomScalePageLayoutView="0" workbookViewId="0" topLeftCell="A1">
      <selection activeCell="Q61" sqref="Q61"/>
    </sheetView>
  </sheetViews>
  <sheetFormatPr defaultColWidth="11.421875" defaultRowHeight="12.75"/>
  <cols>
    <col min="1" max="1" width="11.421875" style="388" customWidth="1"/>
    <col min="2" max="2" width="52.28125" style="388" customWidth="1"/>
    <col min="3" max="3" width="5.7109375" style="389" bestFit="1" customWidth="1"/>
    <col min="4" max="4" width="10.8515625" style="390" bestFit="1" customWidth="1"/>
    <col min="5" max="5" width="6.421875" style="389" bestFit="1" customWidth="1"/>
    <col min="6" max="6" width="14.00390625" style="0" customWidth="1"/>
    <col min="10" max="10" width="12.8515625" style="0" bestFit="1" customWidth="1"/>
    <col min="12" max="12" width="11.8515625" style="0" bestFit="1" customWidth="1"/>
    <col min="15" max="15" width="11.7109375" style="0" bestFit="1" customWidth="1"/>
    <col min="17" max="24" width="11.421875" style="388" customWidth="1"/>
    <col min="25" max="25" width="11.57421875" style="388" customWidth="1"/>
    <col min="26" max="30" width="11.421875" style="388" customWidth="1"/>
  </cols>
  <sheetData>
    <row r="1" spans="6:16" ht="15.75" thickBot="1">
      <c r="F1" s="388"/>
      <c r="G1" s="388"/>
      <c r="H1" s="388"/>
      <c r="I1" s="388"/>
      <c r="J1" s="388"/>
      <c r="K1" s="388"/>
      <c r="L1" s="388"/>
      <c r="M1" s="388"/>
      <c r="N1" s="388"/>
      <c r="O1" s="388"/>
      <c r="P1" s="388"/>
    </row>
    <row r="2" spans="2:16" ht="12.75">
      <c r="B2" s="477" t="s">
        <v>255</v>
      </c>
      <c r="C2" s="478"/>
      <c r="D2" s="478"/>
      <c r="E2" s="479"/>
      <c r="F2" s="388"/>
      <c r="G2" s="388"/>
      <c r="H2" s="388"/>
      <c r="I2" s="388"/>
      <c r="J2" s="388"/>
      <c r="K2" s="388"/>
      <c r="L2" s="388"/>
      <c r="M2" s="388"/>
      <c r="N2" s="388"/>
      <c r="O2" s="388"/>
      <c r="P2" s="388"/>
    </row>
    <row r="3" spans="2:16" ht="12.75">
      <c r="B3" s="393" t="s">
        <v>135</v>
      </c>
      <c r="C3" s="391"/>
      <c r="D3" s="392"/>
      <c r="E3" s="394"/>
      <c r="F3" s="416"/>
      <c r="G3" s="388"/>
      <c r="H3" s="388"/>
      <c r="I3" s="388"/>
      <c r="J3" s="388"/>
      <c r="K3" s="388"/>
      <c r="L3" s="388"/>
      <c r="M3" s="388"/>
      <c r="N3" s="388"/>
      <c r="O3" s="388"/>
      <c r="P3" s="388"/>
    </row>
    <row r="4" spans="2:16" ht="12.75">
      <c r="B4" s="395"/>
      <c r="C4" s="373"/>
      <c r="D4" s="374"/>
      <c r="E4" s="396"/>
      <c r="F4" s="416"/>
      <c r="G4" s="388"/>
      <c r="H4" s="388"/>
      <c r="I4" s="388"/>
      <c r="J4" s="388"/>
      <c r="K4" s="388"/>
      <c r="L4" s="388"/>
      <c r="M4" s="388"/>
      <c r="N4" s="388"/>
      <c r="O4" s="388"/>
      <c r="P4" s="388"/>
    </row>
    <row r="5" spans="2:16" ht="12.75">
      <c r="B5" s="397" t="s">
        <v>256</v>
      </c>
      <c r="C5" s="375"/>
      <c r="D5" s="374">
        <f>kp</f>
        <v>736000</v>
      </c>
      <c r="E5" s="398" t="s">
        <v>32</v>
      </c>
      <c r="F5" s="416"/>
      <c r="G5" s="388"/>
      <c r="H5" s="388"/>
      <c r="I5" s="388"/>
      <c r="J5" s="388"/>
      <c r="K5" s="388"/>
      <c r="L5" s="388"/>
      <c r="M5" s="388"/>
      <c r="N5" s="388"/>
      <c r="O5" s="388"/>
      <c r="P5" s="388"/>
    </row>
    <row r="6" spans="2:16" ht="12.75">
      <c r="B6" s="399"/>
      <c r="C6" s="376"/>
      <c r="D6" s="377"/>
      <c r="E6" s="400"/>
      <c r="F6" s="416"/>
      <c r="G6" s="388"/>
      <c r="H6" s="388"/>
      <c r="I6" s="388"/>
      <c r="J6" s="388"/>
      <c r="K6" s="388"/>
      <c r="L6" s="388"/>
      <c r="M6" s="388"/>
      <c r="N6" s="388"/>
      <c r="O6" s="388"/>
      <c r="P6" s="388"/>
    </row>
    <row r="7" spans="2:16" ht="12.75">
      <c r="B7" s="393" t="s">
        <v>257</v>
      </c>
      <c r="C7" s="408"/>
      <c r="D7" s="409"/>
      <c r="E7" s="410"/>
      <c r="F7" s="416"/>
      <c r="G7" s="388"/>
      <c r="H7" s="388"/>
      <c r="I7" s="388"/>
      <c r="J7" s="388"/>
      <c r="K7" s="388"/>
      <c r="L7" s="388"/>
      <c r="M7" s="388"/>
      <c r="N7" s="388"/>
      <c r="O7" s="388"/>
      <c r="P7" s="388"/>
    </row>
    <row r="8" spans="2:16" ht="12.75">
      <c r="B8" s="411"/>
      <c r="C8" s="412"/>
      <c r="D8" s="413"/>
      <c r="E8" s="414"/>
      <c r="F8" s="416"/>
      <c r="G8" s="388"/>
      <c r="H8" s="388"/>
      <c r="I8" s="388"/>
      <c r="J8" s="388"/>
      <c r="K8" s="388"/>
      <c r="L8" s="388"/>
      <c r="M8" s="388"/>
      <c r="N8" s="388"/>
      <c r="O8" s="388"/>
      <c r="P8" s="388"/>
    </row>
    <row r="9" spans="2:16" ht="12.75">
      <c r="B9" s="397" t="s">
        <v>258</v>
      </c>
      <c r="C9" s="376"/>
      <c r="D9" s="374">
        <f>input!E19</f>
        <v>1150</v>
      </c>
      <c r="E9" s="396" t="s">
        <v>34</v>
      </c>
      <c r="F9" s="416"/>
      <c r="G9" s="388"/>
      <c r="H9" s="388"/>
      <c r="I9" s="388"/>
      <c r="J9" s="388"/>
      <c r="K9" s="388"/>
      <c r="L9" s="388"/>
      <c r="M9" s="388"/>
      <c r="N9" s="388"/>
      <c r="O9" s="388"/>
      <c r="P9" s="388"/>
    </row>
    <row r="10" spans="2:16" ht="12.75">
      <c r="B10" s="397" t="s">
        <v>259</v>
      </c>
      <c r="C10" s="376"/>
      <c r="D10" s="378">
        <f>input!E21</f>
        <v>230</v>
      </c>
      <c r="E10" s="396" t="s">
        <v>77</v>
      </c>
      <c r="F10" s="416"/>
      <c r="G10" s="388"/>
      <c r="H10" s="388"/>
      <c r="I10" s="388"/>
      <c r="J10" s="388"/>
      <c r="K10" s="388"/>
      <c r="L10" s="388"/>
      <c r="M10" s="388"/>
      <c r="N10" s="388"/>
      <c r="O10" s="388"/>
      <c r="P10" s="388"/>
    </row>
    <row r="11" spans="2:16" ht="12.75">
      <c r="B11" s="397" t="s">
        <v>260</v>
      </c>
      <c r="C11" s="376"/>
      <c r="D11" s="374">
        <f>result!I72</f>
        <v>327750</v>
      </c>
      <c r="E11" s="396" t="s">
        <v>30</v>
      </c>
      <c r="F11" s="416"/>
      <c r="G11" s="388"/>
      <c r="H11" s="388"/>
      <c r="I11" s="388"/>
      <c r="J11" s="388"/>
      <c r="K11" s="388"/>
      <c r="L11" s="388"/>
      <c r="M11" s="388"/>
      <c r="N11" s="388"/>
      <c r="O11" s="388"/>
      <c r="P11" s="388"/>
    </row>
    <row r="12" spans="2:16" ht="12.75">
      <c r="B12" s="397" t="s">
        <v>261</v>
      </c>
      <c r="C12" s="376"/>
      <c r="D12" s="379">
        <f>MEDIAN(result!G14:AE14)</f>
        <v>0.3825978148676907</v>
      </c>
      <c r="E12" s="396" t="s">
        <v>27</v>
      </c>
      <c r="F12" s="416"/>
      <c r="G12" s="388"/>
      <c r="H12" s="388"/>
      <c r="I12" s="388"/>
      <c r="J12" s="388"/>
      <c r="K12" s="388"/>
      <c r="L12" s="388"/>
      <c r="M12" s="388"/>
      <c r="N12" s="388"/>
      <c r="O12" s="388"/>
      <c r="P12" s="388"/>
    </row>
    <row r="13" spans="2:16" ht="12.75">
      <c r="B13" s="397" t="s">
        <v>262</v>
      </c>
      <c r="C13" s="376"/>
      <c r="D13" s="374">
        <f>input!J27</f>
        <v>113898.15058993577</v>
      </c>
      <c r="E13" s="396" t="s">
        <v>35</v>
      </c>
      <c r="F13" s="416"/>
      <c r="G13" s="388"/>
      <c r="H13" s="388"/>
      <c r="I13" s="388"/>
      <c r="J13" s="388"/>
      <c r="K13" s="388"/>
      <c r="L13" s="388"/>
      <c r="M13" s="388"/>
      <c r="N13" s="388"/>
      <c r="O13" s="388"/>
      <c r="P13" s="388"/>
    </row>
    <row r="14" spans="2:16" ht="12.75">
      <c r="B14" s="397"/>
      <c r="C14" s="376"/>
      <c r="D14" s="379"/>
      <c r="E14" s="396"/>
      <c r="F14" s="416"/>
      <c r="G14" s="388"/>
      <c r="H14" s="388"/>
      <c r="I14" s="388"/>
      <c r="J14" s="388"/>
      <c r="K14" s="388"/>
      <c r="L14" s="388"/>
      <c r="M14" s="388"/>
      <c r="N14" s="388"/>
      <c r="O14" s="388"/>
      <c r="P14" s="388"/>
    </row>
    <row r="15" spans="2:16" ht="12.75">
      <c r="B15" s="397" t="s">
        <v>228</v>
      </c>
      <c r="C15" s="376"/>
      <c r="D15" s="374">
        <f>is</f>
        <v>853760</v>
      </c>
      <c r="E15" s="398" t="s">
        <v>32</v>
      </c>
      <c r="F15" s="416"/>
      <c r="G15" s="388"/>
      <c r="H15" s="388"/>
      <c r="I15" s="388"/>
      <c r="J15" s="388"/>
      <c r="K15" s="388"/>
      <c r="L15" s="388"/>
      <c r="M15" s="388"/>
      <c r="N15" s="388"/>
      <c r="O15" s="388"/>
      <c r="P15" s="388"/>
    </row>
    <row r="16" spans="2:16" ht="12.75">
      <c r="B16" s="397" t="s">
        <v>263</v>
      </c>
      <c r="C16" s="380"/>
      <c r="D16" s="374">
        <f>result!I75</f>
        <v>3712</v>
      </c>
      <c r="E16" s="398" t="s">
        <v>32</v>
      </c>
      <c r="F16" s="416"/>
      <c r="G16" s="388"/>
      <c r="H16" s="388"/>
      <c r="I16" s="388"/>
      <c r="J16" s="388"/>
      <c r="K16" s="388"/>
      <c r="L16" s="388"/>
      <c r="M16" s="388"/>
      <c r="N16" s="388"/>
      <c r="O16" s="388"/>
      <c r="P16" s="388"/>
    </row>
    <row r="17" spans="2:16" ht="12.75">
      <c r="B17" s="397" t="s">
        <v>264</v>
      </c>
      <c r="C17" s="380">
        <f>input!D49</f>
        <v>1</v>
      </c>
      <c r="D17" s="374">
        <f>ek</f>
        <v>853760</v>
      </c>
      <c r="E17" s="398" t="s">
        <v>32</v>
      </c>
      <c r="F17" s="416"/>
      <c r="G17" s="388"/>
      <c r="H17" s="388"/>
      <c r="I17" s="388"/>
      <c r="J17" s="388"/>
      <c r="K17" s="388"/>
      <c r="L17" s="388"/>
      <c r="M17" s="388"/>
      <c r="N17" s="388"/>
      <c r="O17" s="388"/>
      <c r="P17" s="388"/>
    </row>
    <row r="18" spans="2:16" ht="12.75">
      <c r="B18" s="397" t="s">
        <v>265</v>
      </c>
      <c r="C18" s="380">
        <f>input!D50</f>
        <v>0</v>
      </c>
      <c r="D18" s="374">
        <f>input!E50</f>
        <v>0</v>
      </c>
      <c r="E18" s="398" t="s">
        <v>32</v>
      </c>
      <c r="F18" s="416"/>
      <c r="G18" s="388"/>
      <c r="H18" s="388"/>
      <c r="I18" s="388"/>
      <c r="J18" s="388"/>
      <c r="K18" s="388"/>
      <c r="L18" s="388"/>
      <c r="M18" s="388"/>
      <c r="N18" s="388"/>
      <c r="O18" s="388"/>
      <c r="P18" s="388"/>
    </row>
    <row r="19" spans="2:16" ht="12.75">
      <c r="B19" s="397" t="s">
        <v>147</v>
      </c>
      <c r="C19" s="380">
        <f>input!I52</f>
        <v>0</v>
      </c>
      <c r="D19" s="401">
        <f>input!J52</f>
        <v>0</v>
      </c>
      <c r="E19" s="402"/>
      <c r="F19" s="416"/>
      <c r="G19" s="388"/>
      <c r="H19" s="388"/>
      <c r="I19" s="388"/>
      <c r="J19" s="388"/>
      <c r="K19" s="388"/>
      <c r="L19" s="388"/>
      <c r="M19" s="388"/>
      <c r="N19" s="388"/>
      <c r="O19" s="388"/>
      <c r="P19" s="388"/>
    </row>
    <row r="20" spans="2:16" ht="12.75">
      <c r="B20" s="397" t="s">
        <v>266</v>
      </c>
      <c r="C20" s="373"/>
      <c r="D20" s="381">
        <v>1</v>
      </c>
      <c r="E20" s="396" t="s">
        <v>36</v>
      </c>
      <c r="F20" s="416"/>
      <c r="G20" s="388"/>
      <c r="H20" s="388"/>
      <c r="I20" s="388"/>
      <c r="J20" s="388"/>
      <c r="K20" s="388"/>
      <c r="L20" s="388"/>
      <c r="M20" s="388"/>
      <c r="N20" s="388"/>
      <c r="O20" s="388"/>
      <c r="P20" s="388"/>
    </row>
    <row r="21" spans="2:16" ht="12.75">
      <c r="B21" s="397" t="s">
        <v>267</v>
      </c>
      <c r="C21" s="373"/>
      <c r="D21" s="382">
        <f>D19/D20</f>
        <v>0</v>
      </c>
      <c r="E21" s="398" t="s">
        <v>32</v>
      </c>
      <c r="F21" s="416"/>
      <c r="G21" s="388"/>
      <c r="H21" s="388"/>
      <c r="I21" s="388"/>
      <c r="J21" s="388"/>
      <c r="K21" s="388"/>
      <c r="L21" s="388"/>
      <c r="M21" s="388"/>
      <c r="N21" s="388"/>
      <c r="O21" s="388"/>
      <c r="P21" s="388"/>
    </row>
    <row r="22" spans="2:16" ht="12.75">
      <c r="B22" s="397" t="s">
        <v>150</v>
      </c>
      <c r="C22" s="373"/>
      <c r="D22" s="377">
        <f>input!D54</f>
        <v>0.05</v>
      </c>
      <c r="E22" s="396"/>
      <c r="F22" s="416"/>
      <c r="G22" s="388"/>
      <c r="H22" s="388"/>
      <c r="I22" s="388"/>
      <c r="J22" s="388"/>
      <c r="K22" s="388"/>
      <c r="L22" s="388"/>
      <c r="M22" s="388"/>
      <c r="N22" s="388"/>
      <c r="O22" s="388"/>
      <c r="P22" s="388"/>
    </row>
    <row r="23" spans="2:16" ht="12.75">
      <c r="B23" s="397"/>
      <c r="C23" s="373"/>
      <c r="D23" s="377"/>
      <c r="E23" s="396"/>
      <c r="F23" s="416"/>
      <c r="G23" s="388"/>
      <c r="H23" s="388"/>
      <c r="I23" s="388"/>
      <c r="J23" s="388"/>
      <c r="K23" s="388"/>
      <c r="L23" s="388"/>
      <c r="M23" s="388"/>
      <c r="N23" s="388"/>
      <c r="O23" s="388"/>
      <c r="P23" s="388"/>
    </row>
    <row r="24" spans="2:16" ht="12.75">
      <c r="B24" s="397" t="s">
        <v>268</v>
      </c>
      <c r="C24" s="373"/>
      <c r="D24" s="383">
        <f>result!Q76</f>
        <v>78880.86289820075</v>
      </c>
      <c r="E24" s="396"/>
      <c r="F24" s="416"/>
      <c r="G24" s="388"/>
      <c r="H24" s="388"/>
      <c r="I24" s="388"/>
      <c r="J24" s="388"/>
      <c r="K24" s="388"/>
      <c r="L24" s="388"/>
      <c r="M24" s="388"/>
      <c r="N24" s="388"/>
      <c r="O24" s="388"/>
      <c r="P24" s="388"/>
    </row>
    <row r="25" spans="2:16" ht="12.75">
      <c r="B25" s="397" t="s">
        <v>269</v>
      </c>
      <c r="C25" s="376"/>
      <c r="D25" s="377">
        <f>result!AG53</f>
        <v>1.5139789315466887</v>
      </c>
      <c r="E25" s="403"/>
      <c r="F25" s="416"/>
      <c r="G25" s="388"/>
      <c r="H25" s="388"/>
      <c r="I25" s="388"/>
      <c r="J25" s="388"/>
      <c r="K25" s="388"/>
      <c r="L25" s="388"/>
      <c r="M25" s="388"/>
      <c r="N25" s="388"/>
      <c r="O25" s="388"/>
      <c r="P25" s="388"/>
    </row>
    <row r="26" spans="2:16" ht="12.75">
      <c r="B26" s="397" t="s">
        <v>270</v>
      </c>
      <c r="C26" s="376"/>
      <c r="D26" s="377">
        <f>result!Q72</f>
        <v>0.047149147456480245</v>
      </c>
      <c r="E26" s="396"/>
      <c r="F26" s="416"/>
      <c r="G26" s="388"/>
      <c r="H26" s="388"/>
      <c r="I26" s="388"/>
      <c r="J26" s="388"/>
      <c r="K26" s="388"/>
      <c r="L26" s="388"/>
      <c r="M26" s="388"/>
      <c r="N26" s="388"/>
      <c r="O26" s="388"/>
      <c r="P26" s="388"/>
    </row>
    <row r="27" spans="2:16" ht="13.5" thickBot="1">
      <c r="B27" s="404" t="s">
        <v>271</v>
      </c>
      <c r="C27" s="405"/>
      <c r="D27" s="406">
        <f>result!Q74</f>
        <v>15</v>
      </c>
      <c r="E27" s="407" t="s">
        <v>36</v>
      </c>
      <c r="F27" s="416"/>
      <c r="G27" s="388"/>
      <c r="H27" s="388"/>
      <c r="I27" s="388"/>
      <c r="J27" s="388"/>
      <c r="K27" s="388"/>
      <c r="L27" s="388"/>
      <c r="M27" s="388"/>
      <c r="N27" s="388"/>
      <c r="O27" s="388"/>
      <c r="P27" s="388"/>
    </row>
    <row r="28" spans="2:16" ht="30.75" customHeight="1" thickBot="1">
      <c r="B28" s="448" t="s">
        <v>272</v>
      </c>
      <c r="C28" s="449"/>
      <c r="D28" s="450">
        <f>(NPV(0.03,result!E59,result!G59:AE59))</f>
        <v>935007.2887851467</v>
      </c>
      <c r="E28" s="451" t="s">
        <v>32</v>
      </c>
      <c r="F28" s="416"/>
      <c r="G28" s="388"/>
      <c r="H28" s="388"/>
      <c r="I28" s="388"/>
      <c r="J28" s="388"/>
      <c r="K28" s="388"/>
      <c r="L28" s="388"/>
      <c r="M28" s="388"/>
      <c r="N28" s="388"/>
      <c r="O28" s="388"/>
      <c r="P28" s="388"/>
    </row>
    <row r="29" spans="2:16" ht="15">
      <c r="B29" s="384"/>
      <c r="C29" s="385"/>
      <c r="D29" s="386"/>
      <c r="E29" s="387"/>
      <c r="F29" s="416"/>
      <c r="G29" s="388"/>
      <c r="H29" s="388"/>
      <c r="I29" s="388"/>
      <c r="J29" s="388"/>
      <c r="K29" s="388"/>
      <c r="L29" s="388"/>
      <c r="M29" s="388"/>
      <c r="N29" s="388"/>
      <c r="O29" s="388"/>
      <c r="P29" s="388"/>
    </row>
    <row r="30" spans="6:16" ht="15">
      <c r="F30" s="388"/>
      <c r="G30" s="388"/>
      <c r="H30" s="388"/>
      <c r="I30" s="388"/>
      <c r="J30" s="388"/>
      <c r="K30" s="388"/>
      <c r="L30" s="388"/>
      <c r="M30" s="388"/>
      <c r="N30" s="388"/>
      <c r="O30" s="388"/>
      <c r="P30" s="388"/>
    </row>
    <row r="31" spans="6:21" ht="15.75" thickBot="1">
      <c r="F31" s="388"/>
      <c r="G31" s="388"/>
      <c r="H31" s="388"/>
      <c r="I31" s="388"/>
      <c r="J31" s="388"/>
      <c r="K31" s="388"/>
      <c r="L31" s="388"/>
      <c r="M31" s="388"/>
      <c r="N31" s="388"/>
      <c r="O31" s="388"/>
      <c r="P31" s="388"/>
      <c r="Q31" s="416"/>
      <c r="R31" s="416"/>
      <c r="S31" s="416"/>
      <c r="T31" s="416"/>
      <c r="U31" s="416"/>
    </row>
    <row r="32" spans="2:30" ht="15.75">
      <c r="B32" s="438" t="s">
        <v>273</v>
      </c>
      <c r="C32" s="417"/>
      <c r="D32" s="417"/>
      <c r="E32" s="417"/>
      <c r="F32" s="417"/>
      <c r="G32" s="418"/>
      <c r="H32" s="417"/>
      <c r="I32" s="417"/>
      <c r="J32" s="417"/>
      <c r="K32" s="417"/>
      <c r="L32" s="419"/>
      <c r="M32" s="416"/>
      <c r="N32" s="416"/>
      <c r="O32" s="416"/>
      <c r="P32" s="416"/>
      <c r="Q32" s="416"/>
      <c r="AA32"/>
      <c r="AB32"/>
      <c r="AC32"/>
      <c r="AD32"/>
    </row>
    <row r="33" spans="2:30" ht="12.75">
      <c r="B33" s="439" t="s">
        <v>274</v>
      </c>
      <c r="C33" s="219"/>
      <c r="D33" s="261">
        <f>input!E21</f>
        <v>230</v>
      </c>
      <c r="E33" s="219" t="s">
        <v>77</v>
      </c>
      <c r="F33" s="219"/>
      <c r="G33" s="219"/>
      <c r="H33" s="219"/>
      <c r="I33" s="219"/>
      <c r="J33" s="219"/>
      <c r="K33" s="219"/>
      <c r="L33" s="229"/>
      <c r="M33" s="416"/>
      <c r="N33" s="416"/>
      <c r="O33" s="416"/>
      <c r="P33" s="416"/>
      <c r="Q33" s="416"/>
      <c r="AA33"/>
      <c r="AB33"/>
      <c r="AC33"/>
      <c r="AD33"/>
    </row>
    <row r="34" spans="2:30" ht="12.75">
      <c r="B34" s="439" t="s">
        <v>275</v>
      </c>
      <c r="C34" s="219"/>
      <c r="D34" s="420" t="s">
        <v>91</v>
      </c>
      <c r="E34" s="219"/>
      <c r="F34" s="219"/>
      <c r="G34" s="219"/>
      <c r="H34" s="219"/>
      <c r="I34" s="219"/>
      <c r="J34" s="219"/>
      <c r="K34" s="219"/>
      <c r="L34" s="229"/>
      <c r="M34" s="416"/>
      <c r="N34" s="416"/>
      <c r="O34" s="416"/>
      <c r="P34" s="416"/>
      <c r="Q34" s="416"/>
      <c r="AA34"/>
      <c r="AB34"/>
      <c r="AC34"/>
      <c r="AD34"/>
    </row>
    <row r="35" spans="2:30" ht="12.75">
      <c r="B35" s="439" t="s">
        <v>276</v>
      </c>
      <c r="C35" s="219"/>
      <c r="D35" s="147">
        <f>input!E27</f>
        <v>327750</v>
      </c>
      <c r="E35" s="219" t="s">
        <v>79</v>
      </c>
      <c r="F35" s="219"/>
      <c r="G35" s="219"/>
      <c r="H35" s="219"/>
      <c r="I35" s="219"/>
      <c r="J35" s="219"/>
      <c r="K35" s="219"/>
      <c r="L35" s="229"/>
      <c r="M35" s="416"/>
      <c r="N35" s="416"/>
      <c r="O35" s="416"/>
      <c r="P35" s="416"/>
      <c r="Q35" s="416"/>
      <c r="AA35"/>
      <c r="AB35"/>
      <c r="AC35"/>
      <c r="AD35"/>
    </row>
    <row r="36" spans="2:30" ht="12.75">
      <c r="B36" s="439" t="s">
        <v>277</v>
      </c>
      <c r="C36" s="219"/>
      <c r="D36" s="421">
        <f>input!J45/1000</f>
        <v>3.2</v>
      </c>
      <c r="E36" s="219" t="s">
        <v>94</v>
      </c>
      <c r="F36" s="219"/>
      <c r="G36" s="219"/>
      <c r="H36" s="219"/>
      <c r="I36" s="219"/>
      <c r="J36" s="219"/>
      <c r="K36" s="219"/>
      <c r="L36" s="229"/>
      <c r="M36" s="416"/>
      <c r="N36" s="416"/>
      <c r="O36" s="416"/>
      <c r="P36" s="416"/>
      <c r="Q36" s="416"/>
      <c r="AA36"/>
      <c r="AB36"/>
      <c r="AC36"/>
      <c r="AD36"/>
    </row>
    <row r="37" spans="2:30" ht="12.75">
      <c r="B37" s="439" t="s">
        <v>278</v>
      </c>
      <c r="C37" s="219"/>
      <c r="D37" s="147">
        <f>input!J19</f>
        <v>4600</v>
      </c>
      <c r="E37" s="219" t="s">
        <v>97</v>
      </c>
      <c r="F37" s="219"/>
      <c r="G37" s="219"/>
      <c r="H37" s="219"/>
      <c r="I37" s="219"/>
      <c r="J37" s="219"/>
      <c r="K37" s="219"/>
      <c r="L37" s="229"/>
      <c r="M37" s="416"/>
      <c r="N37" s="416"/>
      <c r="O37" s="416"/>
      <c r="P37" s="416"/>
      <c r="Q37" s="416"/>
      <c r="AA37"/>
      <c r="AB37"/>
      <c r="AC37"/>
      <c r="AD37"/>
    </row>
    <row r="38" spans="2:30" ht="15.75">
      <c r="B38" s="440" t="s">
        <v>279</v>
      </c>
      <c r="C38" s="415"/>
      <c r="D38" s="415"/>
      <c r="E38" s="415"/>
      <c r="F38" s="415"/>
      <c r="G38" s="415"/>
      <c r="H38" s="415"/>
      <c r="I38" s="415"/>
      <c r="J38" s="415"/>
      <c r="K38" s="415"/>
      <c r="L38" s="422"/>
      <c r="M38" s="416"/>
      <c r="N38" s="416"/>
      <c r="O38" s="416"/>
      <c r="P38" s="416"/>
      <c r="Q38" s="416"/>
      <c r="AA38"/>
      <c r="AB38"/>
      <c r="AC38"/>
      <c r="AD38"/>
    </row>
    <row r="39" spans="2:30" ht="15.75">
      <c r="B39" s="54"/>
      <c r="C39" s="26"/>
      <c r="D39" s="26"/>
      <c r="E39" s="26"/>
      <c r="F39" s="26"/>
      <c r="G39" s="26"/>
      <c r="H39" s="26"/>
      <c r="I39" s="26"/>
      <c r="J39" s="26"/>
      <c r="K39" s="26"/>
      <c r="L39" s="55"/>
      <c r="M39" s="416"/>
      <c r="N39" s="416"/>
      <c r="O39" s="416"/>
      <c r="P39" s="416"/>
      <c r="Q39" s="416"/>
      <c r="AA39"/>
      <c r="AB39"/>
      <c r="AC39"/>
      <c r="AD39"/>
    </row>
    <row r="40" spans="2:30" ht="12.75">
      <c r="B40" s="441" t="s">
        <v>280</v>
      </c>
      <c r="C40" s="415"/>
      <c r="D40" s="415"/>
      <c r="E40" s="415"/>
      <c r="F40" s="415"/>
      <c r="G40" s="415"/>
      <c r="H40" s="415"/>
      <c r="I40" s="415"/>
      <c r="J40" s="415"/>
      <c r="K40" s="415"/>
      <c r="L40" s="422"/>
      <c r="M40" s="416"/>
      <c r="N40" s="416"/>
      <c r="O40" s="416"/>
      <c r="P40" s="416"/>
      <c r="Q40" s="416"/>
      <c r="AA40"/>
      <c r="AB40"/>
      <c r="AC40"/>
      <c r="AD40"/>
    </row>
    <row r="41" spans="2:30" ht="12.75">
      <c r="B41" s="439" t="s">
        <v>281</v>
      </c>
      <c r="C41" s="219"/>
      <c r="D41" s="219"/>
      <c r="E41" s="219"/>
      <c r="F41" s="428">
        <f>kp</f>
        <v>736000</v>
      </c>
      <c r="G41" s="219"/>
      <c r="H41" s="219"/>
      <c r="I41" s="219"/>
      <c r="J41" s="219"/>
      <c r="K41" s="219"/>
      <c r="L41" s="229"/>
      <c r="M41" s="416"/>
      <c r="N41" s="416"/>
      <c r="O41" s="416"/>
      <c r="P41" s="416"/>
      <c r="Q41" s="416"/>
      <c r="AA41"/>
      <c r="AB41"/>
      <c r="AC41"/>
      <c r="AD41"/>
    </row>
    <row r="42" spans="2:30" ht="12.75">
      <c r="B42" s="439" t="s">
        <v>282</v>
      </c>
      <c r="C42" s="219"/>
      <c r="D42" s="219"/>
      <c r="E42" s="219"/>
      <c r="F42" s="429">
        <f>input!J74</f>
        <v>0.35078196875734324</v>
      </c>
      <c r="G42" s="219" t="s">
        <v>92</v>
      </c>
      <c r="H42" s="219"/>
      <c r="I42" s="219"/>
      <c r="J42" s="219"/>
      <c r="K42" s="219"/>
      <c r="L42" s="229"/>
      <c r="M42" s="416"/>
      <c r="N42" s="416"/>
      <c r="O42" s="416"/>
      <c r="P42" s="416"/>
      <c r="Q42" s="416"/>
      <c r="AA42"/>
      <c r="AB42"/>
      <c r="AC42"/>
      <c r="AD42"/>
    </row>
    <row r="43" spans="2:30" ht="12.75" hidden="1">
      <c r="B43" s="2"/>
      <c r="C43" s="3"/>
      <c r="D43" s="3"/>
      <c r="E43" s="3"/>
      <c r="F43" s="3"/>
      <c r="G43" s="3"/>
      <c r="H43" s="3"/>
      <c r="I43" s="3"/>
      <c r="J43" s="3"/>
      <c r="K43" s="3"/>
      <c r="L43" s="4"/>
      <c r="M43" s="416"/>
      <c r="N43" s="416"/>
      <c r="O43" s="416"/>
      <c r="P43" s="416"/>
      <c r="Q43" s="416"/>
      <c r="AA43"/>
      <c r="AB43"/>
      <c r="AC43"/>
      <c r="AD43"/>
    </row>
    <row r="44" spans="2:30" ht="12.75" hidden="1">
      <c r="B44" s="2"/>
      <c r="C44" s="3"/>
      <c r="D44" s="3"/>
      <c r="E44" s="3"/>
      <c r="F44" s="3"/>
      <c r="G44" s="3"/>
      <c r="H44" s="3"/>
      <c r="I44" s="3"/>
      <c r="J44" s="3"/>
      <c r="K44" s="3"/>
      <c r="L44" s="4"/>
      <c r="M44" s="416"/>
      <c r="N44" s="416"/>
      <c r="O44" s="416"/>
      <c r="P44" s="416"/>
      <c r="Q44" s="416"/>
      <c r="AA44"/>
      <c r="AB44"/>
      <c r="AC44"/>
      <c r="AD44"/>
    </row>
    <row r="45" spans="2:30" ht="12.75">
      <c r="B45" s="441" t="s">
        <v>283</v>
      </c>
      <c r="C45" s="415"/>
      <c r="D45" s="415"/>
      <c r="E45" s="415"/>
      <c r="F45" s="415"/>
      <c r="G45" s="415"/>
      <c r="H45" s="415"/>
      <c r="I45" s="415"/>
      <c r="J45" s="415"/>
      <c r="K45" s="415"/>
      <c r="L45" s="422"/>
      <c r="M45" s="416"/>
      <c r="N45" s="416"/>
      <c r="O45" s="416"/>
      <c r="P45" s="416"/>
      <c r="Q45" s="416"/>
      <c r="AA45"/>
      <c r="AB45"/>
      <c r="AC45"/>
      <c r="AD45"/>
    </row>
    <row r="46" spans="2:30" ht="12.75">
      <c r="B46" s="439" t="s">
        <v>284</v>
      </c>
      <c r="C46" s="219"/>
      <c r="D46" s="219"/>
      <c r="E46" s="219"/>
      <c r="F46" s="429">
        <f>input!J41</f>
        <v>0.005</v>
      </c>
      <c r="G46" s="219"/>
      <c r="H46" s="219"/>
      <c r="I46" s="219"/>
      <c r="J46" s="219"/>
      <c r="K46" s="219"/>
      <c r="L46" s="229"/>
      <c r="M46" s="416"/>
      <c r="N46" s="416"/>
      <c r="O46" s="416"/>
      <c r="P46" s="416"/>
      <c r="Q46" s="416"/>
      <c r="AA46"/>
      <c r="AB46"/>
      <c r="AC46"/>
      <c r="AD46"/>
    </row>
    <row r="47" spans="2:30" ht="12.75">
      <c r="B47" s="439" t="s">
        <v>285</v>
      </c>
      <c r="C47" s="219"/>
      <c r="D47" s="219"/>
      <c r="E47" s="219">
        <f>input!F8+1</f>
        <v>2018</v>
      </c>
      <c r="F47" s="147">
        <f>input!E27</f>
        <v>327750</v>
      </c>
      <c r="G47" s="219" t="s">
        <v>93</v>
      </c>
      <c r="H47" s="219"/>
      <c r="I47" s="219"/>
      <c r="J47" s="219"/>
      <c r="K47" s="219"/>
      <c r="L47" s="229"/>
      <c r="M47" s="416"/>
      <c r="N47" s="416"/>
      <c r="O47" s="416"/>
      <c r="P47" s="416"/>
      <c r="Q47" s="416"/>
      <c r="AA47"/>
      <c r="AB47"/>
      <c r="AC47"/>
      <c r="AD47"/>
    </row>
    <row r="48" spans="2:30" ht="12.75">
      <c r="B48" s="439" t="s">
        <v>286</v>
      </c>
      <c r="C48" s="219"/>
      <c r="D48" s="219"/>
      <c r="E48" s="219">
        <f>input!F8</f>
        <v>2017</v>
      </c>
      <c r="F48" s="430">
        <v>0.34</v>
      </c>
      <c r="G48" s="431" t="s">
        <v>95</v>
      </c>
      <c r="H48" s="219"/>
      <c r="I48" s="219"/>
      <c r="J48" s="219"/>
      <c r="K48" s="219"/>
      <c r="L48" s="229"/>
      <c r="M48" s="416"/>
      <c r="N48" s="416"/>
      <c r="O48" s="416"/>
      <c r="P48" s="416"/>
      <c r="Q48" s="416"/>
      <c r="AA48"/>
      <c r="AB48"/>
      <c r="AC48"/>
      <c r="AD48"/>
    </row>
    <row r="49" spans="2:30" ht="12.75">
      <c r="B49" s="439" t="s">
        <v>287</v>
      </c>
      <c r="C49" s="219"/>
      <c r="D49" s="219"/>
      <c r="E49" s="219"/>
      <c r="F49" s="429">
        <f>input!J28</f>
        <v>0.015</v>
      </c>
      <c r="G49" s="219"/>
      <c r="H49" s="219"/>
      <c r="I49" s="445" t="s">
        <v>270</v>
      </c>
      <c r="J49" s="415"/>
      <c r="K49" s="423">
        <f>result!AG61</f>
        <v>0.047149147456480245</v>
      </c>
      <c r="L49" s="446" t="s">
        <v>304</v>
      </c>
      <c r="M49" s="416"/>
      <c r="N49" s="416"/>
      <c r="O49" s="416"/>
      <c r="P49" s="416"/>
      <c r="Q49" s="416"/>
      <c r="AA49"/>
      <c r="AB49"/>
      <c r="AC49"/>
      <c r="AD49"/>
    </row>
    <row r="50" spans="2:30" ht="12.75">
      <c r="B50" s="150"/>
      <c r="C50" s="219"/>
      <c r="D50" s="219"/>
      <c r="E50" s="219"/>
      <c r="F50" s="219"/>
      <c r="G50" s="219"/>
      <c r="H50" s="219"/>
      <c r="I50" s="442" t="s">
        <v>302</v>
      </c>
      <c r="J50" s="219"/>
      <c r="K50" s="433">
        <f>result!AF61</f>
        <v>157310.777676848</v>
      </c>
      <c r="L50" s="229" t="s">
        <v>96</v>
      </c>
      <c r="M50" s="416"/>
      <c r="N50" s="416"/>
      <c r="O50" s="416"/>
      <c r="P50" s="416"/>
      <c r="Q50" s="416"/>
      <c r="AA50"/>
      <c r="AB50"/>
      <c r="AC50"/>
      <c r="AD50"/>
    </row>
    <row r="51" spans="2:30" ht="12.75">
      <c r="B51" s="439" t="s">
        <v>288</v>
      </c>
      <c r="C51" s="219"/>
      <c r="D51" s="219"/>
      <c r="E51" s="219"/>
      <c r="F51" s="219"/>
      <c r="G51" s="219"/>
      <c r="H51" s="219"/>
      <c r="I51" s="445" t="s">
        <v>303</v>
      </c>
      <c r="J51" s="415"/>
      <c r="K51" s="424">
        <f>result!Q74</f>
        <v>15</v>
      </c>
      <c r="L51" s="446" t="s">
        <v>305</v>
      </c>
      <c r="M51" s="416"/>
      <c r="N51" s="416"/>
      <c r="O51" s="416"/>
      <c r="P51" s="416"/>
      <c r="Q51" s="416"/>
      <c r="AA51"/>
      <c r="AB51"/>
      <c r="AC51"/>
      <c r="AD51"/>
    </row>
    <row r="52" spans="2:30" ht="12.75">
      <c r="B52" s="150"/>
      <c r="C52" s="442" t="s">
        <v>289</v>
      </c>
      <c r="D52" s="219"/>
      <c r="E52" s="429">
        <f>input!J25</f>
        <v>1</v>
      </c>
      <c r="F52" s="432">
        <f>E52*F48</f>
        <v>0.34</v>
      </c>
      <c r="G52" s="219" t="s">
        <v>95</v>
      </c>
      <c r="H52" s="219"/>
      <c r="I52" s="219"/>
      <c r="J52" s="219"/>
      <c r="K52" s="219"/>
      <c r="L52" s="229"/>
      <c r="M52" s="416"/>
      <c r="N52" s="416"/>
      <c r="O52" s="416"/>
      <c r="P52" s="416"/>
      <c r="Q52" s="416"/>
      <c r="AA52"/>
      <c r="AB52"/>
      <c r="AC52"/>
      <c r="AD52"/>
    </row>
    <row r="53" spans="2:30" ht="12.75">
      <c r="B53" s="150"/>
      <c r="C53" s="442" t="s">
        <v>290</v>
      </c>
      <c r="D53" s="219"/>
      <c r="E53" s="429">
        <f>input!J26</f>
        <v>1</v>
      </c>
      <c r="F53" s="219">
        <f>E53*F48</f>
        <v>0.34</v>
      </c>
      <c r="G53" s="219" t="s">
        <v>95</v>
      </c>
      <c r="H53" s="219"/>
      <c r="I53" s="219"/>
      <c r="J53" s="219"/>
      <c r="K53" s="219"/>
      <c r="L53" s="229"/>
      <c r="M53" s="416"/>
      <c r="N53" s="416"/>
      <c r="O53" s="416"/>
      <c r="P53" s="416"/>
      <c r="Q53" s="416"/>
      <c r="AA53"/>
      <c r="AB53"/>
      <c r="AC53"/>
      <c r="AD53"/>
    </row>
    <row r="54" spans="2:30" ht="12.75">
      <c r="B54" s="439" t="s">
        <v>291</v>
      </c>
      <c r="C54" s="219"/>
      <c r="D54" s="219"/>
      <c r="E54" s="219">
        <f>input!F8+1</f>
        <v>2018</v>
      </c>
      <c r="F54" s="428">
        <f>result!G17</f>
        <v>8871.1</v>
      </c>
      <c r="G54" s="219" t="s">
        <v>96</v>
      </c>
      <c r="H54" s="219"/>
      <c r="I54" s="219"/>
      <c r="J54" s="219"/>
      <c r="K54" s="219"/>
      <c r="L54" s="229"/>
      <c r="M54" s="416"/>
      <c r="N54" s="416"/>
      <c r="O54" s="416"/>
      <c r="P54" s="416"/>
      <c r="Q54" s="416"/>
      <c r="AA54"/>
      <c r="AB54"/>
      <c r="AC54"/>
      <c r="AD54"/>
    </row>
    <row r="55" spans="2:30" ht="12.75" hidden="1">
      <c r="B55" s="2"/>
      <c r="C55" s="3"/>
      <c r="D55" s="3"/>
      <c r="E55" s="3"/>
      <c r="F55" s="3"/>
      <c r="G55" s="3"/>
      <c r="H55" s="219"/>
      <c r="I55" s="219"/>
      <c r="J55" s="219"/>
      <c r="K55" s="219"/>
      <c r="L55" s="229"/>
      <c r="M55" s="416"/>
      <c r="N55" s="416"/>
      <c r="O55" s="416"/>
      <c r="P55" s="416"/>
      <c r="Q55" s="416"/>
      <c r="AA55"/>
      <c r="AB55"/>
      <c r="AC55"/>
      <c r="AD55"/>
    </row>
    <row r="56" spans="2:30" ht="12.75">
      <c r="B56" s="441" t="s">
        <v>292</v>
      </c>
      <c r="C56" s="415"/>
      <c r="D56" s="415"/>
      <c r="E56" s="415"/>
      <c r="F56" s="415"/>
      <c r="G56" s="415"/>
      <c r="H56" s="219"/>
      <c r="I56" s="219"/>
      <c r="J56" s="219"/>
      <c r="K56" s="219"/>
      <c r="L56" s="229"/>
      <c r="M56" s="416"/>
      <c r="N56" s="416"/>
      <c r="O56" s="416"/>
      <c r="P56" s="416"/>
      <c r="Q56" s="416"/>
      <c r="AA56"/>
      <c r="AB56"/>
      <c r="AC56"/>
      <c r="AD56"/>
    </row>
    <row r="57" spans="2:30" ht="12.75">
      <c r="B57" s="439" t="s">
        <v>147</v>
      </c>
      <c r="C57" s="219"/>
      <c r="D57" s="219"/>
      <c r="E57" s="100">
        <f>input!I52</f>
        <v>0</v>
      </c>
      <c r="F57" s="147">
        <f>input!J52</f>
        <v>0</v>
      </c>
      <c r="G57" s="219" t="s">
        <v>96</v>
      </c>
      <c r="H57" s="219"/>
      <c r="I57" s="219"/>
      <c r="J57" s="219"/>
      <c r="K57" s="219"/>
      <c r="L57" s="229"/>
      <c r="M57" s="416"/>
      <c r="N57" s="416"/>
      <c r="O57" s="416"/>
      <c r="P57" s="416"/>
      <c r="Q57" s="416"/>
      <c r="AA57"/>
      <c r="AB57"/>
      <c r="AC57"/>
      <c r="AD57"/>
    </row>
    <row r="58" spans="2:30" ht="12.75">
      <c r="B58" s="439" t="s">
        <v>293</v>
      </c>
      <c r="C58" s="219"/>
      <c r="D58" s="219"/>
      <c r="E58" s="434">
        <f>input!D52</f>
        <v>0</v>
      </c>
      <c r="F58" s="219" t="s">
        <v>36</v>
      </c>
      <c r="G58" s="219"/>
      <c r="H58" s="219"/>
      <c r="I58" s="219"/>
      <c r="J58" s="219"/>
      <c r="K58" s="219"/>
      <c r="L58" s="229"/>
      <c r="M58" s="416"/>
      <c r="N58" s="416"/>
      <c r="O58" s="416"/>
      <c r="P58" s="416"/>
      <c r="Q58" s="416"/>
      <c r="AA58"/>
      <c r="AB58"/>
      <c r="AC58"/>
      <c r="AD58"/>
    </row>
    <row r="59" spans="2:30" ht="12.75">
      <c r="B59" s="439" t="s">
        <v>294</v>
      </c>
      <c r="C59" s="219"/>
      <c r="D59" s="219"/>
      <c r="E59" s="429">
        <f>input!D54</f>
        <v>0.05</v>
      </c>
      <c r="F59" s="219"/>
      <c r="G59" s="219"/>
      <c r="H59" s="219"/>
      <c r="I59" s="219"/>
      <c r="J59" s="219"/>
      <c r="K59" s="219"/>
      <c r="L59" s="229"/>
      <c r="M59" s="416"/>
      <c r="N59" s="416"/>
      <c r="O59" s="416"/>
      <c r="P59" s="416"/>
      <c r="Q59" s="416"/>
      <c r="AA59"/>
      <c r="AB59"/>
      <c r="AC59"/>
      <c r="AD59"/>
    </row>
    <row r="60" spans="2:30" ht="12.75">
      <c r="B60" s="439" t="s">
        <v>295</v>
      </c>
      <c r="C60" s="219"/>
      <c r="D60" s="219"/>
      <c r="E60" s="429">
        <f>input!D49</f>
        <v>1</v>
      </c>
      <c r="F60" s="147">
        <f>ek</f>
        <v>853760</v>
      </c>
      <c r="G60" s="219" t="s">
        <v>96</v>
      </c>
      <c r="H60" s="219"/>
      <c r="I60" s="219"/>
      <c r="J60" s="219"/>
      <c r="K60" s="219"/>
      <c r="L60" s="229"/>
      <c r="M60" s="416"/>
      <c r="N60" s="416"/>
      <c r="O60" s="416"/>
      <c r="P60" s="416"/>
      <c r="Q60" s="416"/>
      <c r="AA60"/>
      <c r="AB60"/>
      <c r="AC60"/>
      <c r="AD60"/>
    </row>
    <row r="61" spans="2:30" ht="12.75">
      <c r="B61" s="439" t="s">
        <v>296</v>
      </c>
      <c r="C61" s="219"/>
      <c r="D61" s="219"/>
      <c r="E61" s="219"/>
      <c r="F61" s="147">
        <f>input!E44</f>
        <v>117760</v>
      </c>
      <c r="G61" s="219" t="s">
        <v>96</v>
      </c>
      <c r="H61" s="219"/>
      <c r="I61" s="219"/>
      <c r="J61" s="219"/>
      <c r="K61" s="219"/>
      <c r="L61" s="229"/>
      <c r="M61" s="416"/>
      <c r="N61" s="416"/>
      <c r="O61" s="416"/>
      <c r="P61" s="416"/>
      <c r="Q61" s="416"/>
      <c r="AA61"/>
      <c r="AB61"/>
      <c r="AC61"/>
      <c r="AD61"/>
    </row>
    <row r="62" spans="2:30" ht="15.75">
      <c r="B62" s="437" t="s">
        <v>199</v>
      </c>
      <c r="C62" s="435"/>
      <c r="D62" s="435"/>
      <c r="E62" s="435"/>
      <c r="F62" s="435"/>
      <c r="G62" s="435"/>
      <c r="H62" s="435"/>
      <c r="I62" s="435"/>
      <c r="J62" s="435"/>
      <c r="K62" s="435"/>
      <c r="L62" s="436"/>
      <c r="M62" s="416"/>
      <c r="N62" s="416"/>
      <c r="O62" s="416"/>
      <c r="P62" s="416"/>
      <c r="Q62" s="416"/>
      <c r="AA62"/>
      <c r="AB62"/>
      <c r="AC62"/>
      <c r="AD62"/>
    </row>
    <row r="63" spans="2:30" ht="12.75" hidden="1">
      <c r="B63" s="2"/>
      <c r="C63" s="3"/>
      <c r="D63" s="3"/>
      <c r="E63" s="3"/>
      <c r="F63" s="3"/>
      <c r="G63" s="3"/>
      <c r="H63" s="3"/>
      <c r="I63" s="3"/>
      <c r="J63" s="3"/>
      <c r="K63" s="3"/>
      <c r="L63" s="4"/>
      <c r="M63" s="416"/>
      <c r="N63" s="416"/>
      <c r="O63" s="416"/>
      <c r="P63" s="416"/>
      <c r="Q63" s="416"/>
      <c r="AA63"/>
      <c r="AB63"/>
      <c r="AC63"/>
      <c r="AD63"/>
    </row>
    <row r="64" spans="2:30" ht="12.75">
      <c r="B64" s="439" t="s">
        <v>297</v>
      </c>
      <c r="C64" s="219"/>
      <c r="D64" s="219"/>
      <c r="E64" s="219"/>
      <c r="F64" s="147"/>
      <c r="G64" s="261">
        <f>'Environmental balance'!F5</f>
        <v>327750</v>
      </c>
      <c r="H64" s="219" t="s">
        <v>79</v>
      </c>
      <c r="I64" s="219"/>
      <c r="J64" s="219"/>
      <c r="K64" s="219"/>
      <c r="L64" s="229"/>
      <c r="M64" s="416"/>
      <c r="N64" s="416"/>
      <c r="O64" s="416"/>
      <c r="P64" s="416"/>
      <c r="Q64" s="416"/>
      <c r="AA64"/>
      <c r="AB64"/>
      <c r="AC64"/>
      <c r="AD64"/>
    </row>
    <row r="65" spans="2:30" ht="12.75">
      <c r="B65" s="439" t="s">
        <v>201</v>
      </c>
      <c r="C65" s="219"/>
      <c r="D65" s="219"/>
      <c r="E65" s="219"/>
      <c r="F65" s="219"/>
      <c r="G65" s="261">
        <f>'Environmental balance'!F6</f>
        <v>28.1865</v>
      </c>
      <c r="H65" s="219" t="s">
        <v>81</v>
      </c>
      <c r="I65" s="219"/>
      <c r="J65" s="219"/>
      <c r="K65" s="219"/>
      <c r="L65" s="229"/>
      <c r="M65" s="416"/>
      <c r="N65" s="416"/>
      <c r="O65" s="416"/>
      <c r="P65" s="416"/>
      <c r="Q65" s="416"/>
      <c r="AA65"/>
      <c r="AB65"/>
      <c r="AC65"/>
      <c r="AD65"/>
    </row>
    <row r="66" spans="2:30" ht="12.75">
      <c r="B66" s="443" t="s">
        <v>298</v>
      </c>
      <c r="C66" s="425"/>
      <c r="D66" s="425"/>
      <c r="E66" s="425"/>
      <c r="F66" s="426"/>
      <c r="G66" s="427">
        <f>'Environmental balance'!F7</f>
        <v>90.76053</v>
      </c>
      <c r="H66" s="444" t="s">
        <v>301</v>
      </c>
      <c r="I66" s="415"/>
      <c r="J66" s="415"/>
      <c r="K66" s="415"/>
      <c r="L66" s="422"/>
      <c r="M66" s="416"/>
      <c r="N66" s="416"/>
      <c r="O66" s="416"/>
      <c r="P66" s="416"/>
      <c r="Q66" s="416"/>
      <c r="AA66"/>
      <c r="AB66"/>
      <c r="AC66"/>
      <c r="AD66"/>
    </row>
    <row r="67" spans="2:30" ht="12.75">
      <c r="B67" s="443" t="s">
        <v>299</v>
      </c>
      <c r="C67" s="425"/>
      <c r="D67" s="425"/>
      <c r="E67" s="425"/>
      <c r="F67" s="426"/>
      <c r="G67" s="427">
        <f>'Environmental balance'!F8</f>
        <v>654.4905299999999</v>
      </c>
      <c r="H67" s="444" t="s">
        <v>205</v>
      </c>
      <c r="I67" s="415"/>
      <c r="J67" s="415"/>
      <c r="K67" s="415"/>
      <c r="L67" s="422"/>
      <c r="M67" s="388"/>
      <c r="N67" s="388"/>
      <c r="O67" s="388"/>
      <c r="P67" s="388"/>
      <c r="AA67"/>
      <c r="AB67"/>
      <c r="AC67"/>
      <c r="AD67"/>
    </row>
    <row r="68" spans="2:30" ht="13.5" thickBot="1">
      <c r="B68" s="56" t="s">
        <v>300</v>
      </c>
      <c r="C68" s="57"/>
      <c r="D68" s="57"/>
      <c r="E68" s="57"/>
      <c r="F68" s="58"/>
      <c r="G68" s="59">
        <f>'Environmental balance'!F9</f>
        <v>361.2269094</v>
      </c>
      <c r="H68" s="60" t="s">
        <v>87</v>
      </c>
      <c r="I68" s="57"/>
      <c r="J68" s="57"/>
      <c r="K68" s="57"/>
      <c r="L68" s="447"/>
      <c r="M68" s="388"/>
      <c r="N68" s="388"/>
      <c r="O68" s="388"/>
      <c r="P68" s="388"/>
      <c r="AA68"/>
      <c r="AB68"/>
      <c r="AC68"/>
      <c r="AD68"/>
    </row>
    <row r="69" spans="3:5" s="388" customFormat="1" ht="15">
      <c r="C69" s="389"/>
      <c r="D69" s="390"/>
      <c r="E69" s="389"/>
    </row>
    <row r="70" spans="3:5" s="388" customFormat="1" ht="15">
      <c r="C70" s="389"/>
      <c r="D70" s="390"/>
      <c r="E70" s="389"/>
    </row>
    <row r="71" spans="3:5" s="388" customFormat="1" ht="15">
      <c r="C71" s="389"/>
      <c r="D71" s="390"/>
      <c r="E71" s="389"/>
    </row>
    <row r="72" spans="3:5" s="388" customFormat="1" ht="15">
      <c r="C72" s="389"/>
      <c r="D72" s="390"/>
      <c r="E72" s="389"/>
    </row>
    <row r="73" spans="3:5" s="388" customFormat="1" ht="15">
      <c r="C73" s="389"/>
      <c r="D73" s="390"/>
      <c r="E73" s="389"/>
    </row>
    <row r="74" spans="3:5" s="388" customFormat="1" ht="15">
      <c r="C74" s="389"/>
      <c r="D74" s="390"/>
      <c r="E74" s="389"/>
    </row>
    <row r="75" spans="3:5" s="388" customFormat="1" ht="15">
      <c r="C75" s="389"/>
      <c r="D75" s="390"/>
      <c r="E75" s="389"/>
    </row>
    <row r="76" spans="3:5" s="388" customFormat="1" ht="15">
      <c r="C76" s="389"/>
      <c r="D76" s="390"/>
      <c r="E76" s="389"/>
    </row>
    <row r="77" spans="3:5" s="388" customFormat="1" ht="15">
      <c r="C77" s="389"/>
      <c r="D77" s="390"/>
      <c r="E77" s="389"/>
    </row>
    <row r="78" spans="3:5" s="388" customFormat="1" ht="15">
      <c r="C78" s="389"/>
      <c r="D78" s="390"/>
      <c r="E78" s="389"/>
    </row>
    <row r="79" spans="3:5" s="388" customFormat="1" ht="15">
      <c r="C79" s="389"/>
      <c r="D79" s="390"/>
      <c r="E79" s="389"/>
    </row>
    <row r="80" spans="3:5" s="388" customFormat="1" ht="15">
      <c r="C80" s="389"/>
      <c r="D80" s="390"/>
      <c r="E80" s="389"/>
    </row>
    <row r="81" spans="3:5" s="388" customFormat="1" ht="15">
      <c r="C81" s="389"/>
      <c r="D81" s="390"/>
      <c r="E81" s="389"/>
    </row>
    <row r="82" spans="3:5" s="388" customFormat="1" ht="15">
      <c r="C82" s="389"/>
      <c r="D82" s="390"/>
      <c r="E82" s="389"/>
    </row>
    <row r="83" spans="3:5" s="388" customFormat="1" ht="15">
      <c r="C83" s="389"/>
      <c r="D83" s="390"/>
      <c r="E83" s="389"/>
    </row>
    <row r="84" spans="3:5" s="388" customFormat="1" ht="15">
      <c r="C84" s="389"/>
      <c r="D84" s="390"/>
      <c r="E84" s="389"/>
    </row>
    <row r="85" spans="3:5" s="388" customFormat="1" ht="15">
      <c r="C85" s="389"/>
      <c r="D85" s="390"/>
      <c r="E85" s="389"/>
    </row>
    <row r="86" spans="3:5" s="388" customFormat="1" ht="15">
      <c r="C86" s="389"/>
      <c r="D86" s="390"/>
      <c r="E86" s="389"/>
    </row>
    <row r="87" spans="3:5" s="388" customFormat="1" ht="15">
      <c r="C87" s="389"/>
      <c r="D87" s="390"/>
      <c r="E87" s="389"/>
    </row>
    <row r="88" spans="3:5" s="388" customFormat="1" ht="15">
      <c r="C88" s="389"/>
      <c r="D88" s="390"/>
      <c r="E88" s="389"/>
    </row>
    <row r="89" spans="3:5" s="388" customFormat="1" ht="15">
      <c r="C89" s="389"/>
      <c r="D89" s="390"/>
      <c r="E89" s="389"/>
    </row>
    <row r="90" spans="3:5" s="388" customFormat="1" ht="15">
      <c r="C90" s="389"/>
      <c r="D90" s="390"/>
      <c r="E90" s="389"/>
    </row>
    <row r="91" spans="3:5" s="388" customFormat="1" ht="15">
      <c r="C91" s="389"/>
      <c r="D91" s="390"/>
      <c r="E91" s="389"/>
    </row>
    <row r="92" spans="3:5" s="388" customFormat="1" ht="15">
      <c r="C92" s="389"/>
      <c r="D92" s="390"/>
      <c r="E92" s="389"/>
    </row>
    <row r="93" spans="3:5" s="388" customFormat="1" ht="15">
      <c r="C93" s="389"/>
      <c r="D93" s="390"/>
      <c r="E93" s="389"/>
    </row>
    <row r="94" spans="3:5" s="388" customFormat="1" ht="15">
      <c r="C94" s="389"/>
      <c r="D94" s="390"/>
      <c r="E94" s="389"/>
    </row>
    <row r="95" spans="3:5" s="388" customFormat="1" ht="15">
      <c r="C95" s="389"/>
      <c r="D95" s="390"/>
      <c r="E95" s="389"/>
    </row>
    <row r="96" spans="3:5" s="388" customFormat="1" ht="15">
      <c r="C96" s="389"/>
      <c r="D96" s="390"/>
      <c r="E96" s="389"/>
    </row>
    <row r="97" spans="3:5" s="388" customFormat="1" ht="15">
      <c r="C97" s="389"/>
      <c r="D97" s="390"/>
      <c r="E97" s="389"/>
    </row>
    <row r="98" spans="3:5" s="388" customFormat="1" ht="15">
      <c r="C98" s="389"/>
      <c r="D98" s="390"/>
      <c r="E98" s="389"/>
    </row>
    <row r="99" spans="3:5" s="388" customFormat="1" ht="15">
      <c r="C99" s="389"/>
      <c r="D99" s="390"/>
      <c r="E99" s="389"/>
    </row>
    <row r="100" spans="3:5" s="388" customFormat="1" ht="15">
      <c r="C100" s="389"/>
      <c r="D100" s="390"/>
      <c r="E100" s="389"/>
    </row>
    <row r="101" spans="3:5" s="388" customFormat="1" ht="15">
      <c r="C101" s="389"/>
      <c r="D101" s="390"/>
      <c r="E101" s="389"/>
    </row>
    <row r="102" spans="3:5" s="388" customFormat="1" ht="15">
      <c r="C102" s="389"/>
      <c r="D102" s="390"/>
      <c r="E102" s="389"/>
    </row>
    <row r="103" spans="3:5" s="388" customFormat="1" ht="15">
      <c r="C103" s="389"/>
      <c r="D103" s="390"/>
      <c r="E103" s="389"/>
    </row>
    <row r="104" spans="3:5" s="388" customFormat="1" ht="15">
      <c r="C104" s="389"/>
      <c r="D104" s="390"/>
      <c r="E104" s="389"/>
    </row>
    <row r="105" spans="3:5" s="388" customFormat="1" ht="15">
      <c r="C105" s="389"/>
      <c r="D105" s="390"/>
      <c r="E105" s="389"/>
    </row>
    <row r="106" spans="3:5" s="388" customFormat="1" ht="15">
      <c r="C106" s="389"/>
      <c r="D106" s="390"/>
      <c r="E106" s="389"/>
    </row>
    <row r="107" spans="3:5" s="388" customFormat="1" ht="15">
      <c r="C107" s="389"/>
      <c r="D107" s="390"/>
      <c r="E107" s="389"/>
    </row>
    <row r="108" spans="3:5" s="388" customFormat="1" ht="15">
      <c r="C108" s="389"/>
      <c r="D108" s="390"/>
      <c r="E108" s="389"/>
    </row>
    <row r="109" spans="3:5" s="388" customFormat="1" ht="15">
      <c r="C109" s="389"/>
      <c r="D109" s="390"/>
      <c r="E109" s="389"/>
    </row>
    <row r="110" spans="3:5" s="388" customFormat="1" ht="15">
      <c r="C110" s="389"/>
      <c r="D110" s="390"/>
      <c r="E110" s="389"/>
    </row>
    <row r="111" spans="3:5" s="388" customFormat="1" ht="15">
      <c r="C111" s="389"/>
      <c r="D111" s="390"/>
      <c r="E111" s="389"/>
    </row>
    <row r="112" spans="3:5" s="388" customFormat="1" ht="15">
      <c r="C112" s="389"/>
      <c r="D112" s="390"/>
      <c r="E112" s="389"/>
    </row>
    <row r="113" spans="3:5" s="388" customFormat="1" ht="15">
      <c r="C113" s="389"/>
      <c r="D113" s="390"/>
      <c r="E113" s="389"/>
    </row>
    <row r="114" spans="3:5" s="388" customFormat="1" ht="15">
      <c r="C114" s="389"/>
      <c r="D114" s="390"/>
      <c r="E114" s="389"/>
    </row>
    <row r="115" spans="3:5" s="388" customFormat="1" ht="15">
      <c r="C115" s="389"/>
      <c r="D115" s="390"/>
      <c r="E115" s="389"/>
    </row>
    <row r="116" spans="3:5" s="388" customFormat="1" ht="15">
      <c r="C116" s="389"/>
      <c r="D116" s="390"/>
      <c r="E116" s="389"/>
    </row>
    <row r="117" spans="3:5" s="388" customFormat="1" ht="15">
      <c r="C117" s="389"/>
      <c r="D117" s="390"/>
      <c r="E117" s="389"/>
    </row>
    <row r="118" spans="3:5" s="388" customFormat="1" ht="15">
      <c r="C118" s="389"/>
      <c r="D118" s="390"/>
      <c r="E118" s="389"/>
    </row>
    <row r="119" spans="3:5" s="388" customFormat="1" ht="15">
      <c r="C119" s="389"/>
      <c r="D119" s="390"/>
      <c r="E119" s="389"/>
    </row>
    <row r="120" spans="3:5" s="388" customFormat="1" ht="15">
      <c r="C120" s="389"/>
      <c r="D120" s="390"/>
      <c r="E120" s="389"/>
    </row>
    <row r="121" spans="3:5" s="388" customFormat="1" ht="15">
      <c r="C121" s="389"/>
      <c r="D121" s="390"/>
      <c r="E121" s="389"/>
    </row>
    <row r="122" spans="3:5" s="388" customFormat="1" ht="15">
      <c r="C122" s="389"/>
      <c r="D122" s="390"/>
      <c r="E122" s="389"/>
    </row>
    <row r="123" spans="3:5" s="388" customFormat="1" ht="15">
      <c r="C123" s="389"/>
      <c r="D123" s="390"/>
      <c r="E123" s="389"/>
    </row>
    <row r="124" spans="3:5" s="388" customFormat="1" ht="15">
      <c r="C124" s="389"/>
      <c r="D124" s="390"/>
      <c r="E124" s="389"/>
    </row>
    <row r="125" spans="3:5" s="388" customFormat="1" ht="15">
      <c r="C125" s="389"/>
      <c r="D125" s="390"/>
      <c r="E125" s="389"/>
    </row>
    <row r="126" spans="3:5" s="388" customFormat="1" ht="15">
      <c r="C126" s="389"/>
      <c r="D126" s="390"/>
      <c r="E126" s="389"/>
    </row>
    <row r="127" spans="3:5" s="388" customFormat="1" ht="15">
      <c r="C127" s="389"/>
      <c r="D127" s="390"/>
      <c r="E127" s="389"/>
    </row>
    <row r="128" spans="3:5" s="388" customFormat="1" ht="15">
      <c r="C128" s="389"/>
      <c r="D128" s="390"/>
      <c r="E128" s="389"/>
    </row>
    <row r="129" spans="3:5" s="388" customFormat="1" ht="15">
      <c r="C129" s="389"/>
      <c r="D129" s="390"/>
      <c r="E129" s="389"/>
    </row>
    <row r="130" spans="3:5" s="388" customFormat="1" ht="15">
      <c r="C130" s="389"/>
      <c r="D130" s="390"/>
      <c r="E130" s="389"/>
    </row>
    <row r="131" spans="3:5" s="388" customFormat="1" ht="15">
      <c r="C131" s="389"/>
      <c r="D131" s="390"/>
      <c r="E131" s="389"/>
    </row>
    <row r="132" spans="3:5" s="388" customFormat="1" ht="15">
      <c r="C132" s="389"/>
      <c r="D132" s="390"/>
      <c r="E132" s="389"/>
    </row>
    <row r="133" spans="3:5" s="388" customFormat="1" ht="15">
      <c r="C133" s="389"/>
      <c r="D133" s="390"/>
      <c r="E133" s="389"/>
    </row>
    <row r="134" spans="3:5" s="388" customFormat="1" ht="15">
      <c r="C134" s="389"/>
      <c r="D134" s="390"/>
      <c r="E134" s="389"/>
    </row>
    <row r="135" spans="3:5" s="388" customFormat="1" ht="15">
      <c r="C135" s="389"/>
      <c r="D135" s="390"/>
      <c r="E135" s="389"/>
    </row>
    <row r="136" spans="3:5" s="388" customFormat="1" ht="15">
      <c r="C136" s="389"/>
      <c r="D136" s="390"/>
      <c r="E136" s="389"/>
    </row>
    <row r="137" spans="3:5" s="388" customFormat="1" ht="15">
      <c r="C137" s="389"/>
      <c r="D137" s="390"/>
      <c r="E137" s="389"/>
    </row>
    <row r="138" spans="3:5" s="388" customFormat="1" ht="15">
      <c r="C138" s="389"/>
      <c r="D138" s="390"/>
      <c r="E138" s="389"/>
    </row>
    <row r="139" spans="3:5" s="388" customFormat="1" ht="15">
      <c r="C139" s="389"/>
      <c r="D139" s="390"/>
      <c r="E139" s="389"/>
    </row>
    <row r="140" spans="3:5" s="388" customFormat="1" ht="15">
      <c r="C140" s="389"/>
      <c r="D140" s="390"/>
      <c r="E140" s="389"/>
    </row>
    <row r="141" spans="3:5" s="388" customFormat="1" ht="15">
      <c r="C141" s="389"/>
      <c r="D141" s="390"/>
      <c r="E141" s="389"/>
    </row>
    <row r="142" spans="3:5" s="388" customFormat="1" ht="15">
      <c r="C142" s="389"/>
      <c r="D142" s="390"/>
      <c r="E142" s="389"/>
    </row>
    <row r="143" spans="3:5" s="388" customFormat="1" ht="15">
      <c r="C143" s="389"/>
      <c r="D143" s="390"/>
      <c r="E143" s="389"/>
    </row>
    <row r="144" spans="3:5" s="388" customFormat="1" ht="15">
      <c r="C144" s="389"/>
      <c r="D144" s="390"/>
      <c r="E144" s="389"/>
    </row>
    <row r="145" spans="3:5" s="388" customFormat="1" ht="15">
      <c r="C145" s="389"/>
      <c r="D145" s="390"/>
      <c r="E145" s="389"/>
    </row>
    <row r="146" spans="3:5" s="388" customFormat="1" ht="15">
      <c r="C146" s="389"/>
      <c r="D146" s="390"/>
      <c r="E146" s="389"/>
    </row>
    <row r="147" spans="3:5" s="388" customFormat="1" ht="15">
      <c r="C147" s="389"/>
      <c r="D147" s="390"/>
      <c r="E147" s="389"/>
    </row>
    <row r="148" spans="3:5" s="388" customFormat="1" ht="15">
      <c r="C148" s="389"/>
      <c r="D148" s="390"/>
      <c r="E148" s="389"/>
    </row>
    <row r="149" spans="3:5" s="388" customFormat="1" ht="15">
      <c r="C149" s="389"/>
      <c r="D149" s="390"/>
      <c r="E149" s="389"/>
    </row>
    <row r="150" spans="3:5" s="388" customFormat="1" ht="15">
      <c r="C150" s="389"/>
      <c r="D150" s="390"/>
      <c r="E150" s="389"/>
    </row>
    <row r="151" spans="3:5" s="388" customFormat="1" ht="15">
      <c r="C151" s="389"/>
      <c r="D151" s="390"/>
      <c r="E151" s="389"/>
    </row>
    <row r="152" spans="3:5" s="388" customFormat="1" ht="15">
      <c r="C152" s="389"/>
      <c r="D152" s="390"/>
      <c r="E152" s="389"/>
    </row>
    <row r="153" spans="3:5" s="388" customFormat="1" ht="15">
      <c r="C153" s="389"/>
      <c r="D153" s="390"/>
      <c r="E153" s="389"/>
    </row>
    <row r="154" spans="3:5" s="388" customFormat="1" ht="15">
      <c r="C154" s="389"/>
      <c r="D154" s="390"/>
      <c r="E154" s="389"/>
    </row>
    <row r="155" spans="3:5" s="388" customFormat="1" ht="15">
      <c r="C155" s="389"/>
      <c r="D155" s="390"/>
      <c r="E155" s="389"/>
    </row>
    <row r="156" spans="3:5" s="388" customFormat="1" ht="15">
      <c r="C156" s="389"/>
      <c r="D156" s="390"/>
      <c r="E156" s="389"/>
    </row>
    <row r="157" spans="3:5" s="388" customFormat="1" ht="15">
      <c r="C157" s="389"/>
      <c r="D157" s="390"/>
      <c r="E157" s="389"/>
    </row>
    <row r="158" spans="3:5" s="388" customFormat="1" ht="15">
      <c r="C158" s="389"/>
      <c r="D158" s="390"/>
      <c r="E158" s="389"/>
    </row>
    <row r="159" spans="3:5" s="388" customFormat="1" ht="15">
      <c r="C159" s="389"/>
      <c r="D159" s="390"/>
      <c r="E159" s="389"/>
    </row>
    <row r="160" spans="3:5" s="388" customFormat="1" ht="15">
      <c r="C160" s="389"/>
      <c r="D160" s="390"/>
      <c r="E160" s="389"/>
    </row>
    <row r="161" spans="3:5" s="388" customFormat="1" ht="15">
      <c r="C161" s="389"/>
      <c r="D161" s="390"/>
      <c r="E161" s="389"/>
    </row>
    <row r="162" spans="3:5" s="388" customFormat="1" ht="15">
      <c r="C162" s="389"/>
      <c r="D162" s="390"/>
      <c r="E162" s="389"/>
    </row>
    <row r="163" spans="3:5" s="388" customFormat="1" ht="15">
      <c r="C163" s="389"/>
      <c r="D163" s="390"/>
      <c r="E163" s="389"/>
    </row>
    <row r="164" spans="3:5" s="388" customFormat="1" ht="15">
      <c r="C164" s="389"/>
      <c r="D164" s="390"/>
      <c r="E164" s="389"/>
    </row>
    <row r="165" spans="3:5" s="388" customFormat="1" ht="15">
      <c r="C165" s="389"/>
      <c r="D165" s="390"/>
      <c r="E165" s="389"/>
    </row>
    <row r="166" spans="3:5" s="388" customFormat="1" ht="15">
      <c r="C166" s="389"/>
      <c r="D166" s="390"/>
      <c r="E166" s="389"/>
    </row>
    <row r="167" spans="3:5" s="388" customFormat="1" ht="15">
      <c r="C167" s="389"/>
      <c r="D167" s="390"/>
      <c r="E167" s="389"/>
    </row>
    <row r="168" spans="3:5" s="388" customFormat="1" ht="15">
      <c r="C168" s="389"/>
      <c r="D168" s="390"/>
      <c r="E168" s="389"/>
    </row>
    <row r="169" spans="3:5" s="388" customFormat="1" ht="15">
      <c r="C169" s="389"/>
      <c r="D169" s="390"/>
      <c r="E169" s="389"/>
    </row>
    <row r="170" spans="3:5" s="388" customFormat="1" ht="15">
      <c r="C170" s="389"/>
      <c r="D170" s="390"/>
      <c r="E170" s="389"/>
    </row>
    <row r="171" spans="3:5" s="388" customFormat="1" ht="15">
      <c r="C171" s="389"/>
      <c r="D171" s="390"/>
      <c r="E171" s="389"/>
    </row>
    <row r="172" spans="3:5" s="388" customFormat="1" ht="15">
      <c r="C172" s="389"/>
      <c r="D172" s="390"/>
      <c r="E172" s="389"/>
    </row>
    <row r="173" spans="3:5" s="388" customFormat="1" ht="15">
      <c r="C173" s="389"/>
      <c r="D173" s="390"/>
      <c r="E173" s="389"/>
    </row>
    <row r="174" spans="3:5" s="388" customFormat="1" ht="15">
      <c r="C174" s="389"/>
      <c r="D174" s="390"/>
      <c r="E174" s="389"/>
    </row>
    <row r="175" spans="3:5" s="388" customFormat="1" ht="15">
      <c r="C175" s="389"/>
      <c r="D175" s="390"/>
      <c r="E175" s="389"/>
    </row>
    <row r="176" spans="3:5" s="388" customFormat="1" ht="15">
      <c r="C176" s="389"/>
      <c r="D176" s="390"/>
      <c r="E176" s="389"/>
    </row>
    <row r="177" spans="3:5" s="388" customFormat="1" ht="15">
      <c r="C177" s="389"/>
      <c r="D177" s="390"/>
      <c r="E177" s="389"/>
    </row>
    <row r="178" spans="3:5" s="388" customFormat="1" ht="15">
      <c r="C178" s="389"/>
      <c r="D178" s="390"/>
      <c r="E178" s="389"/>
    </row>
    <row r="179" spans="3:5" s="388" customFormat="1" ht="15">
      <c r="C179" s="389"/>
      <c r="D179" s="390"/>
      <c r="E179" s="389"/>
    </row>
    <row r="180" spans="3:5" s="388" customFormat="1" ht="15">
      <c r="C180" s="389"/>
      <c r="D180" s="390"/>
      <c r="E180" s="389"/>
    </row>
    <row r="181" spans="3:5" s="388" customFormat="1" ht="15">
      <c r="C181" s="389"/>
      <c r="D181" s="390"/>
      <c r="E181" s="389"/>
    </row>
    <row r="182" spans="3:5" s="388" customFormat="1" ht="15">
      <c r="C182" s="389"/>
      <c r="D182" s="390"/>
      <c r="E182" s="389"/>
    </row>
    <row r="183" spans="3:5" s="388" customFormat="1" ht="15">
      <c r="C183" s="389"/>
      <c r="D183" s="390"/>
      <c r="E183" s="389"/>
    </row>
    <row r="184" spans="3:5" s="388" customFormat="1" ht="15">
      <c r="C184" s="389"/>
      <c r="D184" s="390"/>
      <c r="E184" s="389"/>
    </row>
    <row r="185" spans="3:5" s="388" customFormat="1" ht="15">
      <c r="C185" s="389"/>
      <c r="D185" s="390"/>
      <c r="E185" s="389"/>
    </row>
    <row r="186" spans="3:5" s="388" customFormat="1" ht="15">
      <c r="C186" s="389"/>
      <c r="D186" s="390"/>
      <c r="E186" s="389"/>
    </row>
    <row r="187" spans="3:5" s="388" customFormat="1" ht="15">
      <c r="C187" s="389"/>
      <c r="D187" s="390"/>
      <c r="E187" s="389"/>
    </row>
    <row r="188" spans="3:5" s="388" customFormat="1" ht="15">
      <c r="C188" s="389"/>
      <c r="D188" s="390"/>
      <c r="E188" s="389"/>
    </row>
    <row r="189" spans="3:5" s="388" customFormat="1" ht="15">
      <c r="C189" s="389"/>
      <c r="D189" s="390"/>
      <c r="E189" s="389"/>
    </row>
    <row r="190" spans="3:5" s="388" customFormat="1" ht="15">
      <c r="C190" s="389"/>
      <c r="D190" s="390"/>
      <c r="E190" s="389"/>
    </row>
    <row r="191" spans="3:5" s="388" customFormat="1" ht="15">
      <c r="C191" s="389"/>
      <c r="D191" s="390"/>
      <c r="E191" s="389"/>
    </row>
    <row r="192" spans="3:5" s="388" customFormat="1" ht="15">
      <c r="C192" s="389"/>
      <c r="D192" s="390"/>
      <c r="E192" s="389"/>
    </row>
    <row r="193" spans="3:5" s="388" customFormat="1" ht="15">
      <c r="C193" s="389"/>
      <c r="D193" s="390"/>
      <c r="E193" s="389"/>
    </row>
    <row r="194" spans="3:5" s="388" customFormat="1" ht="15">
      <c r="C194" s="389"/>
      <c r="D194" s="390"/>
      <c r="E194" s="389"/>
    </row>
    <row r="195" spans="3:5" s="388" customFormat="1" ht="15">
      <c r="C195" s="389"/>
      <c r="D195" s="390"/>
      <c r="E195" s="389"/>
    </row>
    <row r="196" spans="3:5" s="388" customFormat="1" ht="15">
      <c r="C196" s="389"/>
      <c r="D196" s="390"/>
      <c r="E196" s="389"/>
    </row>
    <row r="197" spans="3:5" s="388" customFormat="1" ht="15">
      <c r="C197" s="389"/>
      <c r="D197" s="390"/>
      <c r="E197" s="389"/>
    </row>
    <row r="198" spans="3:5" s="388" customFormat="1" ht="15">
      <c r="C198" s="389"/>
      <c r="D198" s="390"/>
      <c r="E198" s="389"/>
    </row>
    <row r="199" spans="3:5" s="388" customFormat="1" ht="15">
      <c r="C199" s="389"/>
      <c r="D199" s="390"/>
      <c r="E199" s="389"/>
    </row>
    <row r="200" spans="3:5" s="388" customFormat="1" ht="15">
      <c r="C200" s="389"/>
      <c r="D200" s="390"/>
      <c r="E200" s="389"/>
    </row>
    <row r="201" spans="3:5" s="388" customFormat="1" ht="15">
      <c r="C201" s="389"/>
      <c r="D201" s="390"/>
      <c r="E201" s="389"/>
    </row>
    <row r="202" spans="3:5" s="388" customFormat="1" ht="15">
      <c r="C202" s="389"/>
      <c r="D202" s="390"/>
      <c r="E202" s="389"/>
    </row>
    <row r="203" spans="3:5" s="388" customFormat="1" ht="15">
      <c r="C203" s="389"/>
      <c r="D203" s="390"/>
      <c r="E203" s="389"/>
    </row>
    <row r="204" spans="3:5" s="388" customFormat="1" ht="15">
      <c r="C204" s="389"/>
      <c r="D204" s="390"/>
      <c r="E204" s="389"/>
    </row>
    <row r="205" spans="3:5" s="388" customFormat="1" ht="15">
      <c r="C205" s="389"/>
      <c r="D205" s="390"/>
      <c r="E205" s="389"/>
    </row>
    <row r="206" spans="3:5" s="388" customFormat="1" ht="15">
      <c r="C206" s="389"/>
      <c r="D206" s="390"/>
      <c r="E206" s="389"/>
    </row>
    <row r="207" spans="3:5" s="388" customFormat="1" ht="15">
      <c r="C207" s="389"/>
      <c r="D207" s="390"/>
      <c r="E207" s="389"/>
    </row>
    <row r="208" spans="3:5" s="388" customFormat="1" ht="15">
      <c r="C208" s="389"/>
      <c r="D208" s="390"/>
      <c r="E208" s="389"/>
    </row>
    <row r="209" spans="3:5" s="388" customFormat="1" ht="15">
      <c r="C209" s="389"/>
      <c r="D209" s="390"/>
      <c r="E209" s="389"/>
    </row>
    <row r="210" spans="3:5" s="388" customFormat="1" ht="15">
      <c r="C210" s="389"/>
      <c r="D210" s="390"/>
      <c r="E210" s="389"/>
    </row>
    <row r="211" spans="3:5" s="388" customFormat="1" ht="15">
      <c r="C211" s="389"/>
      <c r="D211" s="390"/>
      <c r="E211" s="389"/>
    </row>
    <row r="212" spans="3:5" s="388" customFormat="1" ht="15">
      <c r="C212" s="389"/>
      <c r="D212" s="390"/>
      <c r="E212" s="389"/>
    </row>
    <row r="213" spans="3:5" s="388" customFormat="1" ht="15">
      <c r="C213" s="389"/>
      <c r="D213" s="390"/>
      <c r="E213" s="389"/>
    </row>
    <row r="214" spans="3:5" s="388" customFormat="1" ht="15">
      <c r="C214" s="389"/>
      <c r="D214" s="390"/>
      <c r="E214" s="389"/>
    </row>
    <row r="215" spans="3:5" s="388" customFormat="1" ht="15">
      <c r="C215" s="389"/>
      <c r="D215" s="390"/>
      <c r="E215" s="389"/>
    </row>
    <row r="216" spans="3:5" s="388" customFormat="1" ht="15">
      <c r="C216" s="389"/>
      <c r="D216" s="390"/>
      <c r="E216" s="389"/>
    </row>
    <row r="217" spans="3:5" s="388" customFormat="1" ht="15">
      <c r="C217" s="389"/>
      <c r="D217" s="390"/>
      <c r="E217" s="389"/>
    </row>
    <row r="218" spans="3:5" s="388" customFormat="1" ht="15">
      <c r="C218" s="389"/>
      <c r="D218" s="390"/>
      <c r="E218" s="389"/>
    </row>
    <row r="219" spans="3:5" s="388" customFormat="1" ht="15">
      <c r="C219" s="389"/>
      <c r="D219" s="390"/>
      <c r="E219" s="389"/>
    </row>
    <row r="220" spans="3:5" s="388" customFormat="1" ht="15">
      <c r="C220" s="389"/>
      <c r="D220" s="390"/>
      <c r="E220" s="389"/>
    </row>
    <row r="221" spans="3:5" s="388" customFormat="1" ht="15">
      <c r="C221" s="389"/>
      <c r="D221" s="390"/>
      <c r="E221" s="389"/>
    </row>
    <row r="222" spans="3:5" s="388" customFormat="1" ht="15">
      <c r="C222" s="389"/>
      <c r="D222" s="390"/>
      <c r="E222" s="389"/>
    </row>
    <row r="223" spans="3:5" s="388" customFormat="1" ht="15">
      <c r="C223" s="389"/>
      <c r="D223" s="390"/>
      <c r="E223" s="389"/>
    </row>
    <row r="224" spans="3:5" s="388" customFormat="1" ht="15">
      <c r="C224" s="389"/>
      <c r="D224" s="390"/>
      <c r="E224" s="389"/>
    </row>
    <row r="225" spans="3:5" s="388" customFormat="1" ht="15">
      <c r="C225" s="389"/>
      <c r="D225" s="390"/>
      <c r="E225" s="389"/>
    </row>
    <row r="226" spans="3:5" s="388" customFormat="1" ht="15">
      <c r="C226" s="389"/>
      <c r="D226" s="390"/>
      <c r="E226" s="389"/>
    </row>
    <row r="227" spans="3:5" s="388" customFormat="1" ht="15">
      <c r="C227" s="389"/>
      <c r="D227" s="390"/>
      <c r="E227" s="389"/>
    </row>
    <row r="228" spans="3:5" s="388" customFormat="1" ht="15">
      <c r="C228" s="389"/>
      <c r="D228" s="390"/>
      <c r="E228" s="389"/>
    </row>
    <row r="229" spans="3:5" s="388" customFormat="1" ht="15">
      <c r="C229" s="389"/>
      <c r="D229" s="390"/>
      <c r="E229" s="389"/>
    </row>
    <row r="230" spans="3:5" s="388" customFormat="1" ht="15">
      <c r="C230" s="389"/>
      <c r="D230" s="390"/>
      <c r="E230" s="389"/>
    </row>
    <row r="231" spans="3:5" s="388" customFormat="1" ht="15">
      <c r="C231" s="389"/>
      <c r="D231" s="390"/>
      <c r="E231" s="389"/>
    </row>
    <row r="232" spans="3:5" s="388" customFormat="1" ht="15">
      <c r="C232" s="389"/>
      <c r="D232" s="390"/>
      <c r="E232" s="389"/>
    </row>
    <row r="233" spans="3:5" s="388" customFormat="1" ht="15">
      <c r="C233" s="389"/>
      <c r="D233" s="390"/>
      <c r="E233" s="389"/>
    </row>
    <row r="234" spans="3:5" s="388" customFormat="1" ht="15">
      <c r="C234" s="389"/>
      <c r="D234" s="390"/>
      <c r="E234" s="389"/>
    </row>
    <row r="235" spans="3:5" s="388" customFormat="1" ht="15">
      <c r="C235" s="389"/>
      <c r="D235" s="390"/>
      <c r="E235" s="389"/>
    </row>
    <row r="236" spans="3:5" s="388" customFormat="1" ht="15">
      <c r="C236" s="389"/>
      <c r="D236" s="390"/>
      <c r="E236" s="389"/>
    </row>
    <row r="237" spans="3:5" s="388" customFormat="1" ht="15">
      <c r="C237" s="389"/>
      <c r="D237" s="390"/>
      <c r="E237" s="389"/>
    </row>
    <row r="238" spans="3:5" s="388" customFormat="1" ht="15">
      <c r="C238" s="389"/>
      <c r="D238" s="390"/>
      <c r="E238" s="389"/>
    </row>
    <row r="239" spans="3:5" s="388" customFormat="1" ht="15">
      <c r="C239" s="389"/>
      <c r="D239" s="390"/>
      <c r="E239" s="389"/>
    </row>
    <row r="240" spans="3:5" s="388" customFormat="1" ht="15">
      <c r="C240" s="389"/>
      <c r="D240" s="390"/>
      <c r="E240" s="389"/>
    </row>
    <row r="241" spans="3:5" s="388" customFormat="1" ht="15">
      <c r="C241" s="389"/>
      <c r="D241" s="390"/>
      <c r="E241" s="389"/>
    </row>
    <row r="242" spans="3:5" s="388" customFormat="1" ht="15">
      <c r="C242" s="389"/>
      <c r="D242" s="390"/>
      <c r="E242" s="389"/>
    </row>
    <row r="243" spans="3:5" s="388" customFormat="1" ht="15">
      <c r="C243" s="389"/>
      <c r="D243" s="390"/>
      <c r="E243" s="389"/>
    </row>
    <row r="244" spans="3:5" s="388" customFormat="1" ht="15">
      <c r="C244" s="389"/>
      <c r="D244" s="390"/>
      <c r="E244" s="389"/>
    </row>
    <row r="245" spans="3:5" s="388" customFormat="1" ht="15">
      <c r="C245" s="389"/>
      <c r="D245" s="390"/>
      <c r="E245" s="389"/>
    </row>
    <row r="246" spans="3:5" s="388" customFormat="1" ht="15">
      <c r="C246" s="389"/>
      <c r="D246" s="390"/>
      <c r="E246" s="389"/>
    </row>
    <row r="247" spans="3:5" s="388" customFormat="1" ht="15">
      <c r="C247" s="389"/>
      <c r="D247" s="390"/>
      <c r="E247" s="389"/>
    </row>
    <row r="248" spans="3:5" s="388" customFormat="1" ht="15">
      <c r="C248" s="389"/>
      <c r="D248" s="390"/>
      <c r="E248" s="389"/>
    </row>
    <row r="249" spans="3:5" s="388" customFormat="1" ht="15">
      <c r="C249" s="389"/>
      <c r="D249" s="390"/>
      <c r="E249" s="389"/>
    </row>
    <row r="250" spans="3:5" s="388" customFormat="1" ht="15">
      <c r="C250" s="389"/>
      <c r="D250" s="390"/>
      <c r="E250" s="389"/>
    </row>
    <row r="251" spans="3:5" s="388" customFormat="1" ht="15">
      <c r="C251" s="389"/>
      <c r="D251" s="390"/>
      <c r="E251" s="389"/>
    </row>
    <row r="252" spans="3:5" s="388" customFormat="1" ht="15">
      <c r="C252" s="389"/>
      <c r="D252" s="390"/>
      <c r="E252" s="389"/>
    </row>
    <row r="253" spans="3:5" s="388" customFormat="1" ht="15">
      <c r="C253" s="389"/>
      <c r="D253" s="390"/>
      <c r="E253" s="389"/>
    </row>
    <row r="254" spans="3:5" s="388" customFormat="1" ht="15">
      <c r="C254" s="389"/>
      <c r="D254" s="390"/>
      <c r="E254" s="389"/>
    </row>
    <row r="255" spans="3:5" s="388" customFormat="1" ht="15">
      <c r="C255" s="389"/>
      <c r="D255" s="390"/>
      <c r="E255" s="389"/>
    </row>
    <row r="256" spans="3:5" s="388" customFormat="1" ht="15">
      <c r="C256" s="389"/>
      <c r="D256" s="390"/>
      <c r="E256" s="389"/>
    </row>
    <row r="257" spans="3:5" s="388" customFormat="1" ht="15">
      <c r="C257" s="389"/>
      <c r="D257" s="390"/>
      <c r="E257" s="389"/>
    </row>
    <row r="258" spans="3:5" s="388" customFormat="1" ht="15">
      <c r="C258" s="389"/>
      <c r="D258" s="390"/>
      <c r="E258" s="389"/>
    </row>
    <row r="259" spans="3:5" s="388" customFormat="1" ht="15">
      <c r="C259" s="389"/>
      <c r="D259" s="390"/>
      <c r="E259" s="389"/>
    </row>
    <row r="260" spans="3:5" s="388" customFormat="1" ht="15">
      <c r="C260" s="389"/>
      <c r="D260" s="390"/>
      <c r="E260" s="389"/>
    </row>
    <row r="261" spans="3:5" s="388" customFormat="1" ht="15">
      <c r="C261" s="389"/>
      <c r="D261" s="390"/>
      <c r="E261" s="389"/>
    </row>
    <row r="262" spans="3:5" s="388" customFormat="1" ht="15">
      <c r="C262" s="389"/>
      <c r="D262" s="390"/>
      <c r="E262" s="389"/>
    </row>
    <row r="263" spans="3:5" s="388" customFormat="1" ht="15">
      <c r="C263" s="389"/>
      <c r="D263" s="390"/>
      <c r="E263" s="389"/>
    </row>
    <row r="264" spans="3:5" s="388" customFormat="1" ht="15">
      <c r="C264" s="389"/>
      <c r="D264" s="390"/>
      <c r="E264" s="389"/>
    </row>
    <row r="265" spans="3:5" s="388" customFormat="1" ht="15">
      <c r="C265" s="389"/>
      <c r="D265" s="390"/>
      <c r="E265" s="389"/>
    </row>
    <row r="266" spans="3:5" s="388" customFormat="1" ht="15">
      <c r="C266" s="389"/>
      <c r="D266" s="390"/>
      <c r="E266" s="389"/>
    </row>
    <row r="267" spans="3:5" s="388" customFormat="1" ht="15">
      <c r="C267" s="389"/>
      <c r="D267" s="390"/>
      <c r="E267" s="389"/>
    </row>
    <row r="268" spans="3:5" s="388" customFormat="1" ht="15">
      <c r="C268" s="389"/>
      <c r="D268" s="390"/>
      <c r="E268" s="389"/>
    </row>
    <row r="269" spans="3:5" s="388" customFormat="1" ht="15">
      <c r="C269" s="389"/>
      <c r="D269" s="390"/>
      <c r="E269" s="389"/>
    </row>
    <row r="270" spans="3:5" s="388" customFormat="1" ht="15">
      <c r="C270" s="389"/>
      <c r="D270" s="390"/>
      <c r="E270" s="389"/>
    </row>
    <row r="271" spans="3:5" s="388" customFormat="1" ht="15">
      <c r="C271" s="389"/>
      <c r="D271" s="390"/>
      <c r="E271" s="389"/>
    </row>
    <row r="272" spans="3:5" s="388" customFormat="1" ht="15">
      <c r="C272" s="389"/>
      <c r="D272" s="390"/>
      <c r="E272" s="389"/>
    </row>
    <row r="273" spans="3:5" s="388" customFormat="1" ht="15">
      <c r="C273" s="389"/>
      <c r="D273" s="390"/>
      <c r="E273" s="389"/>
    </row>
    <row r="274" spans="3:5" s="388" customFormat="1" ht="15">
      <c r="C274" s="389"/>
      <c r="D274" s="390"/>
      <c r="E274" s="389"/>
    </row>
    <row r="275" spans="3:5" s="388" customFormat="1" ht="15">
      <c r="C275" s="389"/>
      <c r="D275" s="390"/>
      <c r="E275" s="389"/>
    </row>
    <row r="276" spans="3:5" s="388" customFormat="1" ht="15">
      <c r="C276" s="389"/>
      <c r="D276" s="390"/>
      <c r="E276" s="389"/>
    </row>
    <row r="277" spans="3:5" s="388" customFormat="1" ht="15">
      <c r="C277" s="389"/>
      <c r="D277" s="390"/>
      <c r="E277" s="389"/>
    </row>
    <row r="278" spans="3:5" s="388" customFormat="1" ht="15">
      <c r="C278" s="389"/>
      <c r="D278" s="390"/>
      <c r="E278" s="389"/>
    </row>
    <row r="279" spans="3:5" s="388" customFormat="1" ht="15">
      <c r="C279" s="389"/>
      <c r="D279" s="390"/>
      <c r="E279" s="389"/>
    </row>
    <row r="280" spans="3:5" s="388" customFormat="1" ht="15">
      <c r="C280" s="389"/>
      <c r="D280" s="390"/>
      <c r="E280" s="389"/>
    </row>
    <row r="281" spans="3:5" s="388" customFormat="1" ht="15">
      <c r="C281" s="389"/>
      <c r="D281" s="390"/>
      <c r="E281" s="389"/>
    </row>
    <row r="282" spans="3:5" s="388" customFormat="1" ht="15">
      <c r="C282" s="389"/>
      <c r="D282" s="390"/>
      <c r="E282" s="389"/>
    </row>
    <row r="283" spans="3:5" s="388" customFormat="1" ht="15">
      <c r="C283" s="389"/>
      <c r="D283" s="390"/>
      <c r="E283" s="389"/>
    </row>
    <row r="284" spans="3:5" s="388" customFormat="1" ht="15">
      <c r="C284" s="389"/>
      <c r="D284" s="390"/>
      <c r="E284" s="389"/>
    </row>
    <row r="285" spans="3:5" s="388" customFormat="1" ht="15">
      <c r="C285" s="389"/>
      <c r="D285" s="390"/>
      <c r="E285" s="389"/>
    </row>
    <row r="286" spans="3:5" s="388" customFormat="1" ht="15">
      <c r="C286" s="389"/>
      <c r="D286" s="390"/>
      <c r="E286" s="389"/>
    </row>
    <row r="287" spans="3:5" s="388" customFormat="1" ht="15">
      <c r="C287" s="389"/>
      <c r="D287" s="390"/>
      <c r="E287" s="389"/>
    </row>
    <row r="288" spans="3:5" s="388" customFormat="1" ht="15">
      <c r="C288" s="389"/>
      <c r="D288" s="390"/>
      <c r="E288" s="389"/>
    </row>
    <row r="289" spans="3:5" s="388" customFormat="1" ht="15">
      <c r="C289" s="389"/>
      <c r="D289" s="390"/>
      <c r="E289" s="389"/>
    </row>
    <row r="290" spans="3:5" s="388" customFormat="1" ht="15">
      <c r="C290" s="389"/>
      <c r="D290" s="390"/>
      <c r="E290" s="389"/>
    </row>
    <row r="291" spans="3:5" s="388" customFormat="1" ht="15">
      <c r="C291" s="389"/>
      <c r="D291" s="390"/>
      <c r="E291" s="389"/>
    </row>
    <row r="292" spans="3:5" s="388" customFormat="1" ht="15">
      <c r="C292" s="389"/>
      <c r="D292" s="390"/>
      <c r="E292" s="389"/>
    </row>
    <row r="293" spans="3:5" s="388" customFormat="1" ht="15">
      <c r="C293" s="389"/>
      <c r="D293" s="390"/>
      <c r="E293" s="389"/>
    </row>
    <row r="294" spans="3:5" s="388" customFormat="1" ht="15">
      <c r="C294" s="389"/>
      <c r="D294" s="390"/>
      <c r="E294" s="389"/>
    </row>
    <row r="295" spans="3:5" s="388" customFormat="1" ht="15">
      <c r="C295" s="389"/>
      <c r="D295" s="390"/>
      <c r="E295" s="389"/>
    </row>
    <row r="296" spans="3:5" s="388" customFormat="1" ht="15">
      <c r="C296" s="389"/>
      <c r="D296" s="390"/>
      <c r="E296" s="389"/>
    </row>
    <row r="297" spans="3:5" s="388" customFormat="1" ht="15">
      <c r="C297" s="389"/>
      <c r="D297" s="390"/>
      <c r="E297" s="389"/>
    </row>
    <row r="298" spans="3:5" s="388" customFormat="1" ht="15">
      <c r="C298" s="389"/>
      <c r="D298" s="390"/>
      <c r="E298" s="389"/>
    </row>
    <row r="299" spans="3:5" s="388" customFormat="1" ht="15">
      <c r="C299" s="389"/>
      <c r="D299" s="390"/>
      <c r="E299" s="389"/>
    </row>
    <row r="300" spans="3:5" s="388" customFormat="1" ht="15">
      <c r="C300" s="389"/>
      <c r="D300" s="390"/>
      <c r="E300" s="389"/>
    </row>
    <row r="301" spans="3:5" s="388" customFormat="1" ht="15">
      <c r="C301" s="389"/>
      <c r="D301" s="390"/>
      <c r="E301" s="389"/>
    </row>
    <row r="302" spans="3:5" s="388" customFormat="1" ht="15">
      <c r="C302" s="389"/>
      <c r="D302" s="390"/>
      <c r="E302" s="389"/>
    </row>
    <row r="303" spans="3:5" s="388" customFormat="1" ht="15">
      <c r="C303" s="389"/>
      <c r="D303" s="390"/>
      <c r="E303" s="389"/>
    </row>
    <row r="304" spans="3:5" s="388" customFormat="1" ht="15">
      <c r="C304" s="389"/>
      <c r="D304" s="390"/>
      <c r="E304" s="389"/>
    </row>
    <row r="305" spans="3:5" s="388" customFormat="1" ht="15">
      <c r="C305" s="389"/>
      <c r="D305" s="390"/>
      <c r="E305" s="389"/>
    </row>
    <row r="306" spans="3:5" s="388" customFormat="1" ht="15">
      <c r="C306" s="389"/>
      <c r="D306" s="390"/>
      <c r="E306" s="389"/>
    </row>
    <row r="307" spans="3:5" s="388" customFormat="1" ht="15">
      <c r="C307" s="389"/>
      <c r="D307" s="390"/>
      <c r="E307" s="389"/>
    </row>
    <row r="308" spans="3:5" s="388" customFormat="1" ht="15">
      <c r="C308" s="389"/>
      <c r="D308" s="390"/>
      <c r="E308" s="389"/>
    </row>
    <row r="309" spans="3:5" s="388" customFormat="1" ht="15">
      <c r="C309" s="389"/>
      <c r="D309" s="390"/>
      <c r="E309" s="389"/>
    </row>
    <row r="310" spans="3:5" s="388" customFormat="1" ht="15">
      <c r="C310" s="389"/>
      <c r="D310" s="390"/>
      <c r="E310" s="389"/>
    </row>
    <row r="311" spans="3:5" s="388" customFormat="1" ht="15">
      <c r="C311" s="389"/>
      <c r="D311" s="390"/>
      <c r="E311" s="389"/>
    </row>
    <row r="312" spans="3:5" s="388" customFormat="1" ht="15">
      <c r="C312" s="389"/>
      <c r="D312" s="390"/>
      <c r="E312" s="389"/>
    </row>
    <row r="313" spans="3:5" s="388" customFormat="1" ht="15">
      <c r="C313" s="389"/>
      <c r="D313" s="390"/>
      <c r="E313" s="389"/>
    </row>
    <row r="314" spans="3:5" s="388" customFormat="1" ht="15">
      <c r="C314" s="389"/>
      <c r="D314" s="390"/>
      <c r="E314" s="389"/>
    </row>
    <row r="315" spans="3:5" s="388" customFormat="1" ht="15">
      <c r="C315" s="389"/>
      <c r="D315" s="390"/>
      <c r="E315" s="389"/>
    </row>
    <row r="316" spans="3:5" s="388" customFormat="1" ht="15">
      <c r="C316" s="389"/>
      <c r="D316" s="390"/>
      <c r="E316" s="389"/>
    </row>
    <row r="317" spans="3:5" s="388" customFormat="1" ht="15">
      <c r="C317" s="389"/>
      <c r="D317" s="390"/>
      <c r="E317" s="389"/>
    </row>
    <row r="318" spans="3:5" s="388" customFormat="1" ht="15">
      <c r="C318" s="389"/>
      <c r="D318" s="390"/>
      <c r="E318" s="389"/>
    </row>
    <row r="319" spans="3:5" s="388" customFormat="1" ht="15">
      <c r="C319" s="389"/>
      <c r="D319" s="390"/>
      <c r="E319" s="389"/>
    </row>
    <row r="320" spans="3:5" s="388" customFormat="1" ht="15">
      <c r="C320" s="389"/>
      <c r="D320" s="390"/>
      <c r="E320" s="389"/>
    </row>
    <row r="321" spans="3:5" s="388" customFormat="1" ht="15">
      <c r="C321" s="389"/>
      <c r="D321" s="390"/>
      <c r="E321" s="389"/>
    </row>
    <row r="322" spans="3:5" s="388" customFormat="1" ht="15">
      <c r="C322" s="389"/>
      <c r="D322" s="390"/>
      <c r="E322" s="389"/>
    </row>
    <row r="323" spans="3:5" s="388" customFormat="1" ht="15">
      <c r="C323" s="389"/>
      <c r="D323" s="390"/>
      <c r="E323" s="389"/>
    </row>
    <row r="324" spans="3:5" s="388" customFormat="1" ht="15">
      <c r="C324" s="389"/>
      <c r="D324" s="390"/>
      <c r="E324" s="389"/>
    </row>
    <row r="325" spans="3:5" s="388" customFormat="1" ht="15">
      <c r="C325" s="389"/>
      <c r="D325" s="390"/>
      <c r="E325" s="389"/>
    </row>
    <row r="326" spans="3:5" s="388" customFormat="1" ht="15">
      <c r="C326" s="389"/>
      <c r="D326" s="390"/>
      <c r="E326" s="389"/>
    </row>
    <row r="327" spans="3:5" s="388" customFormat="1" ht="15">
      <c r="C327" s="389"/>
      <c r="D327" s="390"/>
      <c r="E327" s="389"/>
    </row>
    <row r="328" spans="3:5" s="388" customFormat="1" ht="15">
      <c r="C328" s="389"/>
      <c r="D328" s="390"/>
      <c r="E328" s="389"/>
    </row>
    <row r="329" spans="3:5" s="388" customFormat="1" ht="15">
      <c r="C329" s="389"/>
      <c r="D329" s="390"/>
      <c r="E329" s="389"/>
    </row>
    <row r="330" spans="3:5" s="388" customFormat="1" ht="15">
      <c r="C330" s="389"/>
      <c r="D330" s="390"/>
      <c r="E330" s="389"/>
    </row>
    <row r="331" spans="3:5" s="388" customFormat="1" ht="15">
      <c r="C331" s="389"/>
      <c r="D331" s="390"/>
      <c r="E331" s="389"/>
    </row>
    <row r="332" spans="3:5" s="388" customFormat="1" ht="15">
      <c r="C332" s="389"/>
      <c r="D332" s="390"/>
      <c r="E332" s="389"/>
    </row>
    <row r="333" spans="3:5" s="388" customFormat="1" ht="15">
      <c r="C333" s="389"/>
      <c r="D333" s="390"/>
      <c r="E333" s="389"/>
    </row>
    <row r="334" spans="3:5" s="388" customFormat="1" ht="15">
      <c r="C334" s="389"/>
      <c r="D334" s="390"/>
      <c r="E334" s="389"/>
    </row>
    <row r="335" spans="3:5" s="388" customFormat="1" ht="15">
      <c r="C335" s="389"/>
      <c r="D335" s="390"/>
      <c r="E335" s="389"/>
    </row>
    <row r="336" spans="3:5" s="388" customFormat="1" ht="15">
      <c r="C336" s="389"/>
      <c r="D336" s="390"/>
      <c r="E336" s="389"/>
    </row>
    <row r="337" spans="3:5" s="388" customFormat="1" ht="15">
      <c r="C337" s="389"/>
      <c r="D337" s="390"/>
      <c r="E337" s="389"/>
    </row>
    <row r="338" spans="3:5" s="388" customFormat="1" ht="15">
      <c r="C338" s="389"/>
      <c r="D338" s="390"/>
      <c r="E338" s="389"/>
    </row>
    <row r="339" spans="3:5" s="388" customFormat="1" ht="15">
      <c r="C339" s="389"/>
      <c r="D339" s="390"/>
      <c r="E339" s="389"/>
    </row>
    <row r="340" spans="3:5" s="388" customFormat="1" ht="15">
      <c r="C340" s="389"/>
      <c r="D340" s="390"/>
      <c r="E340" s="389"/>
    </row>
    <row r="341" spans="3:5" s="388" customFormat="1" ht="15">
      <c r="C341" s="389"/>
      <c r="D341" s="390"/>
      <c r="E341" s="389"/>
    </row>
    <row r="342" spans="3:5" s="388" customFormat="1" ht="15">
      <c r="C342" s="389"/>
      <c r="D342" s="390"/>
      <c r="E342" s="389"/>
    </row>
    <row r="343" spans="3:5" s="388" customFormat="1" ht="15">
      <c r="C343" s="389"/>
      <c r="D343" s="390"/>
      <c r="E343" s="389"/>
    </row>
    <row r="344" spans="3:5" s="388" customFormat="1" ht="15">
      <c r="C344" s="389"/>
      <c r="D344" s="390"/>
      <c r="E344" s="389"/>
    </row>
    <row r="345" spans="3:5" s="388" customFormat="1" ht="15">
      <c r="C345" s="389"/>
      <c r="D345" s="390"/>
      <c r="E345" s="389"/>
    </row>
    <row r="346" spans="3:5" s="388" customFormat="1" ht="15">
      <c r="C346" s="389"/>
      <c r="D346" s="390"/>
      <c r="E346" s="389"/>
    </row>
    <row r="347" spans="3:5" s="388" customFormat="1" ht="15">
      <c r="C347" s="389"/>
      <c r="D347" s="390"/>
      <c r="E347" s="389"/>
    </row>
    <row r="348" spans="3:5" s="388" customFormat="1" ht="15">
      <c r="C348" s="389"/>
      <c r="D348" s="390"/>
      <c r="E348" s="389"/>
    </row>
    <row r="349" spans="3:5" s="388" customFormat="1" ht="15">
      <c r="C349" s="389"/>
      <c r="D349" s="390"/>
      <c r="E349" s="389"/>
    </row>
    <row r="350" spans="3:5" s="388" customFormat="1" ht="15">
      <c r="C350" s="389"/>
      <c r="D350" s="390"/>
      <c r="E350" s="389"/>
    </row>
    <row r="351" spans="3:5" s="388" customFormat="1" ht="15">
      <c r="C351" s="389"/>
      <c r="D351" s="390"/>
      <c r="E351" s="389"/>
    </row>
    <row r="352" spans="3:5" s="388" customFormat="1" ht="15">
      <c r="C352" s="389"/>
      <c r="D352" s="390"/>
      <c r="E352" s="389"/>
    </row>
    <row r="353" spans="3:5" s="388" customFormat="1" ht="15">
      <c r="C353" s="389"/>
      <c r="D353" s="390"/>
      <c r="E353" s="389"/>
    </row>
    <row r="354" spans="3:5" s="388" customFormat="1" ht="15">
      <c r="C354" s="389"/>
      <c r="D354" s="390"/>
      <c r="E354" s="389"/>
    </row>
    <row r="355" spans="3:5" s="388" customFormat="1" ht="15">
      <c r="C355" s="389"/>
      <c r="D355" s="390"/>
      <c r="E355" s="389"/>
    </row>
    <row r="356" spans="3:5" s="388" customFormat="1" ht="15">
      <c r="C356" s="389"/>
      <c r="D356" s="390"/>
      <c r="E356" s="389"/>
    </row>
    <row r="357" spans="3:5" s="388" customFormat="1" ht="15">
      <c r="C357" s="389"/>
      <c r="D357" s="390"/>
      <c r="E357" s="389"/>
    </row>
    <row r="358" spans="3:5" s="388" customFormat="1" ht="15">
      <c r="C358" s="389"/>
      <c r="D358" s="390"/>
      <c r="E358" s="389"/>
    </row>
    <row r="359" spans="3:5" s="388" customFormat="1" ht="15">
      <c r="C359" s="389"/>
      <c r="D359" s="390"/>
      <c r="E359" s="389"/>
    </row>
    <row r="360" spans="3:5" s="388" customFormat="1" ht="15">
      <c r="C360" s="389"/>
      <c r="D360" s="390"/>
      <c r="E360" s="389"/>
    </row>
    <row r="361" spans="3:5" s="388" customFormat="1" ht="15">
      <c r="C361" s="389"/>
      <c r="D361" s="390"/>
      <c r="E361" s="389"/>
    </row>
    <row r="362" spans="3:5" s="388" customFormat="1" ht="15">
      <c r="C362" s="389"/>
      <c r="D362" s="390"/>
      <c r="E362" s="389"/>
    </row>
    <row r="363" spans="3:5" s="388" customFormat="1" ht="15">
      <c r="C363" s="389"/>
      <c r="D363" s="390"/>
      <c r="E363" s="389"/>
    </row>
    <row r="364" spans="3:5" s="388" customFormat="1" ht="15">
      <c r="C364" s="389"/>
      <c r="D364" s="390"/>
      <c r="E364" s="389"/>
    </row>
    <row r="365" spans="3:5" s="388" customFormat="1" ht="15">
      <c r="C365" s="389"/>
      <c r="D365" s="390"/>
      <c r="E365" s="389"/>
    </row>
    <row r="366" spans="3:5" s="388" customFormat="1" ht="15">
      <c r="C366" s="389"/>
      <c r="D366" s="390"/>
      <c r="E366" s="389"/>
    </row>
    <row r="367" spans="3:5" s="388" customFormat="1" ht="15">
      <c r="C367" s="389"/>
      <c r="D367" s="390"/>
      <c r="E367" s="389"/>
    </row>
    <row r="368" spans="3:5" s="388" customFormat="1" ht="15">
      <c r="C368" s="389"/>
      <c r="D368" s="390"/>
      <c r="E368" s="389"/>
    </row>
    <row r="369" spans="3:5" s="388" customFormat="1" ht="15">
      <c r="C369" s="389"/>
      <c r="D369" s="390"/>
      <c r="E369" s="389"/>
    </row>
    <row r="370" spans="3:5" s="388" customFormat="1" ht="15">
      <c r="C370" s="389"/>
      <c r="D370" s="390"/>
      <c r="E370" s="389"/>
    </row>
    <row r="371" spans="3:5" s="388" customFormat="1" ht="15">
      <c r="C371" s="389"/>
      <c r="D371" s="390"/>
      <c r="E371" s="389"/>
    </row>
    <row r="372" spans="3:5" s="388" customFormat="1" ht="15">
      <c r="C372" s="389"/>
      <c r="D372" s="390"/>
      <c r="E372" s="389"/>
    </row>
    <row r="373" spans="3:5" s="388" customFormat="1" ht="15">
      <c r="C373" s="389"/>
      <c r="D373" s="390"/>
      <c r="E373" s="389"/>
    </row>
    <row r="374" spans="3:5" s="388" customFormat="1" ht="15">
      <c r="C374" s="389"/>
      <c r="D374" s="390"/>
      <c r="E374" s="389"/>
    </row>
    <row r="375" spans="3:5" s="388" customFormat="1" ht="15">
      <c r="C375" s="389"/>
      <c r="D375" s="390"/>
      <c r="E375" s="389"/>
    </row>
    <row r="376" spans="3:5" s="388" customFormat="1" ht="15">
      <c r="C376" s="389"/>
      <c r="D376" s="390"/>
      <c r="E376" s="389"/>
    </row>
    <row r="377" spans="3:5" s="388" customFormat="1" ht="15">
      <c r="C377" s="389"/>
      <c r="D377" s="390"/>
      <c r="E377" s="389"/>
    </row>
    <row r="378" spans="3:5" s="388" customFormat="1" ht="15">
      <c r="C378" s="389"/>
      <c r="D378" s="390"/>
      <c r="E378" s="389"/>
    </row>
    <row r="379" spans="3:5" s="388" customFormat="1" ht="15">
      <c r="C379" s="389"/>
      <c r="D379" s="390"/>
      <c r="E379" s="389"/>
    </row>
    <row r="380" spans="3:5" s="388" customFormat="1" ht="15">
      <c r="C380" s="389"/>
      <c r="D380" s="390"/>
      <c r="E380" s="389"/>
    </row>
    <row r="381" spans="3:5" s="388" customFormat="1" ht="15">
      <c r="C381" s="389"/>
      <c r="D381" s="390"/>
      <c r="E381" s="389"/>
    </row>
    <row r="382" spans="3:5" s="388" customFormat="1" ht="15">
      <c r="C382" s="389"/>
      <c r="D382" s="390"/>
      <c r="E382" s="389"/>
    </row>
    <row r="383" spans="3:5" s="388" customFormat="1" ht="15">
      <c r="C383" s="389"/>
      <c r="D383" s="390"/>
      <c r="E383" s="389"/>
    </row>
    <row r="384" spans="3:5" s="388" customFormat="1" ht="15">
      <c r="C384" s="389"/>
      <c r="D384" s="390"/>
      <c r="E384" s="389"/>
    </row>
    <row r="385" spans="3:5" s="388" customFormat="1" ht="15">
      <c r="C385" s="389"/>
      <c r="D385" s="390"/>
      <c r="E385" s="389"/>
    </row>
    <row r="386" spans="3:5" s="388" customFormat="1" ht="15">
      <c r="C386" s="389"/>
      <c r="D386" s="390"/>
      <c r="E386" s="389"/>
    </row>
    <row r="387" spans="3:5" s="388" customFormat="1" ht="15">
      <c r="C387" s="389"/>
      <c r="D387" s="390"/>
      <c r="E387" s="389"/>
    </row>
    <row r="388" spans="3:5" s="388" customFormat="1" ht="15">
      <c r="C388" s="389"/>
      <c r="D388" s="390"/>
      <c r="E388" s="389"/>
    </row>
    <row r="389" spans="3:5" s="388" customFormat="1" ht="15">
      <c r="C389" s="389"/>
      <c r="D389" s="390"/>
      <c r="E389" s="389"/>
    </row>
    <row r="390" spans="3:5" s="388" customFormat="1" ht="15">
      <c r="C390" s="389"/>
      <c r="D390" s="390"/>
      <c r="E390" s="389"/>
    </row>
    <row r="391" spans="3:5" s="388" customFormat="1" ht="15">
      <c r="C391" s="389"/>
      <c r="D391" s="390"/>
      <c r="E391" s="389"/>
    </row>
    <row r="392" spans="3:5" s="388" customFormat="1" ht="15">
      <c r="C392" s="389"/>
      <c r="D392" s="390"/>
      <c r="E392" s="389"/>
    </row>
    <row r="393" spans="3:5" s="388" customFormat="1" ht="15">
      <c r="C393" s="389"/>
      <c r="D393" s="390"/>
      <c r="E393" s="389"/>
    </row>
    <row r="394" spans="3:5" s="388" customFormat="1" ht="15">
      <c r="C394" s="389"/>
      <c r="D394" s="390"/>
      <c r="E394" s="389"/>
    </row>
    <row r="395" spans="3:5" s="388" customFormat="1" ht="15">
      <c r="C395" s="389"/>
      <c r="D395" s="390"/>
      <c r="E395" s="389"/>
    </row>
    <row r="396" spans="3:5" s="388" customFormat="1" ht="15">
      <c r="C396" s="389"/>
      <c r="D396" s="390"/>
      <c r="E396" s="389"/>
    </row>
    <row r="397" spans="3:5" s="388" customFormat="1" ht="15">
      <c r="C397" s="389"/>
      <c r="D397" s="390"/>
      <c r="E397" s="389"/>
    </row>
    <row r="398" spans="3:5" s="388" customFormat="1" ht="15">
      <c r="C398" s="389"/>
      <c r="D398" s="390"/>
      <c r="E398" s="389"/>
    </row>
    <row r="399" spans="3:5" s="388" customFormat="1" ht="15">
      <c r="C399" s="389"/>
      <c r="D399" s="390"/>
      <c r="E399" s="389"/>
    </row>
    <row r="400" spans="3:5" s="388" customFormat="1" ht="15">
      <c r="C400" s="389"/>
      <c r="D400" s="390"/>
      <c r="E400" s="389"/>
    </row>
    <row r="401" spans="3:5" s="388" customFormat="1" ht="15">
      <c r="C401" s="389"/>
      <c r="D401" s="390"/>
      <c r="E401" s="389"/>
    </row>
    <row r="402" spans="3:5" s="388" customFormat="1" ht="15">
      <c r="C402" s="389"/>
      <c r="D402" s="390"/>
      <c r="E402" s="389"/>
    </row>
    <row r="403" spans="3:5" s="388" customFormat="1" ht="15">
      <c r="C403" s="389"/>
      <c r="D403" s="390"/>
      <c r="E403" s="389"/>
    </row>
    <row r="404" spans="3:5" s="388" customFormat="1" ht="15">
      <c r="C404" s="389"/>
      <c r="D404" s="390"/>
      <c r="E404" s="389"/>
    </row>
    <row r="405" spans="3:5" s="388" customFormat="1" ht="15">
      <c r="C405" s="389"/>
      <c r="D405" s="390"/>
      <c r="E405" s="389"/>
    </row>
    <row r="406" spans="3:5" s="388" customFormat="1" ht="15">
      <c r="C406" s="389"/>
      <c r="D406" s="390"/>
      <c r="E406" s="389"/>
    </row>
    <row r="407" spans="3:5" s="388" customFormat="1" ht="15">
      <c r="C407" s="389"/>
      <c r="D407" s="390"/>
      <c r="E407" s="389"/>
    </row>
    <row r="408" spans="3:5" s="388" customFormat="1" ht="15">
      <c r="C408" s="389"/>
      <c r="D408" s="390"/>
      <c r="E408" s="389"/>
    </row>
    <row r="409" spans="3:5" s="388" customFormat="1" ht="15">
      <c r="C409" s="389"/>
      <c r="D409" s="390"/>
      <c r="E409" s="389"/>
    </row>
    <row r="410" spans="3:5" s="388" customFormat="1" ht="15">
      <c r="C410" s="389"/>
      <c r="D410" s="390"/>
      <c r="E410" s="389"/>
    </row>
    <row r="411" spans="3:5" s="388" customFormat="1" ht="15">
      <c r="C411" s="389"/>
      <c r="D411" s="390"/>
      <c r="E411" s="389"/>
    </row>
    <row r="412" spans="3:5" s="388" customFormat="1" ht="15">
      <c r="C412" s="389"/>
      <c r="D412" s="390"/>
      <c r="E412" s="389"/>
    </row>
    <row r="413" spans="3:5" s="388" customFormat="1" ht="15">
      <c r="C413" s="389"/>
      <c r="D413" s="390"/>
      <c r="E413" s="389"/>
    </row>
    <row r="414" spans="3:5" s="388" customFormat="1" ht="15">
      <c r="C414" s="389"/>
      <c r="D414" s="390"/>
      <c r="E414" s="389"/>
    </row>
    <row r="415" spans="3:5" s="388" customFormat="1" ht="15">
      <c r="C415" s="389"/>
      <c r="D415" s="390"/>
      <c r="E415" s="389"/>
    </row>
    <row r="416" spans="3:5" s="388" customFormat="1" ht="15">
      <c r="C416" s="389"/>
      <c r="D416" s="390"/>
      <c r="E416" s="389"/>
    </row>
    <row r="417" spans="3:5" s="388" customFormat="1" ht="15">
      <c r="C417" s="389"/>
      <c r="D417" s="390"/>
      <c r="E417" s="389"/>
    </row>
    <row r="418" spans="3:5" s="388" customFormat="1" ht="15">
      <c r="C418" s="389"/>
      <c r="D418" s="390"/>
      <c r="E418" s="389"/>
    </row>
    <row r="419" spans="3:5" s="388" customFormat="1" ht="15">
      <c r="C419" s="389"/>
      <c r="D419" s="390"/>
      <c r="E419" s="389"/>
    </row>
    <row r="420" spans="3:5" s="388" customFormat="1" ht="15">
      <c r="C420" s="389"/>
      <c r="D420" s="390"/>
      <c r="E420" s="389"/>
    </row>
    <row r="421" spans="3:5" s="388" customFormat="1" ht="15">
      <c r="C421" s="389"/>
      <c r="D421" s="390"/>
      <c r="E421" s="389"/>
    </row>
    <row r="422" spans="3:5" s="388" customFormat="1" ht="15">
      <c r="C422" s="389"/>
      <c r="D422" s="390"/>
      <c r="E422" s="389"/>
    </row>
    <row r="423" spans="3:5" s="388" customFormat="1" ht="15">
      <c r="C423" s="389"/>
      <c r="D423" s="390"/>
      <c r="E423" s="389"/>
    </row>
    <row r="424" spans="3:5" s="388" customFormat="1" ht="15">
      <c r="C424" s="389"/>
      <c r="D424" s="390"/>
      <c r="E424" s="389"/>
    </row>
    <row r="425" spans="3:5" s="388" customFormat="1" ht="15">
      <c r="C425" s="389"/>
      <c r="D425" s="390"/>
      <c r="E425" s="389"/>
    </row>
    <row r="426" spans="3:5" s="388" customFormat="1" ht="15">
      <c r="C426" s="389"/>
      <c r="D426" s="390"/>
      <c r="E426" s="389"/>
    </row>
    <row r="427" spans="3:5" s="388" customFormat="1" ht="15">
      <c r="C427" s="389"/>
      <c r="D427" s="390"/>
      <c r="E427" s="389"/>
    </row>
    <row r="428" spans="3:5" s="388" customFormat="1" ht="15">
      <c r="C428" s="389"/>
      <c r="D428" s="390"/>
      <c r="E428" s="389"/>
    </row>
    <row r="429" spans="3:5" s="388" customFormat="1" ht="15">
      <c r="C429" s="389"/>
      <c r="D429" s="390"/>
      <c r="E429" s="389"/>
    </row>
    <row r="430" spans="3:5" s="388" customFormat="1" ht="15">
      <c r="C430" s="389"/>
      <c r="D430" s="390"/>
      <c r="E430" s="389"/>
    </row>
    <row r="431" spans="3:5" s="388" customFormat="1" ht="15">
      <c r="C431" s="389"/>
      <c r="D431" s="390"/>
      <c r="E431" s="389"/>
    </row>
    <row r="432" spans="3:5" s="388" customFormat="1" ht="15">
      <c r="C432" s="389"/>
      <c r="D432" s="390"/>
      <c r="E432" s="389"/>
    </row>
    <row r="433" spans="3:5" s="388" customFormat="1" ht="15">
      <c r="C433" s="389"/>
      <c r="D433" s="390"/>
      <c r="E433" s="389"/>
    </row>
    <row r="434" spans="3:5" s="388" customFormat="1" ht="15">
      <c r="C434" s="389"/>
      <c r="D434" s="390"/>
      <c r="E434" s="389"/>
    </row>
    <row r="435" spans="3:5" s="388" customFormat="1" ht="15">
      <c r="C435" s="389"/>
      <c r="D435" s="390"/>
      <c r="E435" s="389"/>
    </row>
    <row r="436" spans="3:5" s="388" customFormat="1" ht="15">
      <c r="C436" s="389"/>
      <c r="D436" s="390"/>
      <c r="E436" s="389"/>
    </row>
    <row r="437" spans="3:5" s="388" customFormat="1" ht="15">
      <c r="C437" s="389"/>
      <c r="D437" s="390"/>
      <c r="E437" s="389"/>
    </row>
    <row r="438" spans="3:5" s="388" customFormat="1" ht="15">
      <c r="C438" s="389"/>
      <c r="D438" s="390"/>
      <c r="E438" s="389"/>
    </row>
    <row r="439" spans="3:5" s="388" customFormat="1" ht="15">
      <c r="C439" s="389"/>
      <c r="D439" s="390"/>
      <c r="E439" s="389"/>
    </row>
    <row r="440" spans="3:5" s="388" customFormat="1" ht="15">
      <c r="C440" s="389"/>
      <c r="D440" s="390"/>
      <c r="E440" s="389"/>
    </row>
    <row r="441" spans="3:5" s="388" customFormat="1" ht="15">
      <c r="C441" s="389"/>
      <c r="D441" s="390"/>
      <c r="E441" s="389"/>
    </row>
    <row r="442" spans="3:5" s="388" customFormat="1" ht="15">
      <c r="C442" s="389"/>
      <c r="D442" s="390"/>
      <c r="E442" s="389"/>
    </row>
    <row r="443" spans="3:5" s="388" customFormat="1" ht="15">
      <c r="C443" s="389"/>
      <c r="D443" s="390"/>
      <c r="E443" s="389"/>
    </row>
    <row r="444" spans="3:5" s="388" customFormat="1" ht="15">
      <c r="C444" s="389"/>
      <c r="D444" s="390"/>
      <c r="E444" s="389"/>
    </row>
    <row r="445" spans="3:5" s="388" customFormat="1" ht="15">
      <c r="C445" s="389"/>
      <c r="D445" s="390"/>
      <c r="E445" s="389"/>
    </row>
    <row r="446" spans="3:5" s="388" customFormat="1" ht="15">
      <c r="C446" s="389"/>
      <c r="D446" s="390"/>
      <c r="E446" s="389"/>
    </row>
    <row r="447" spans="3:5" s="388" customFormat="1" ht="15">
      <c r="C447" s="389"/>
      <c r="D447" s="390"/>
      <c r="E447" s="389"/>
    </row>
    <row r="448" spans="3:5" s="388" customFormat="1" ht="15">
      <c r="C448" s="389"/>
      <c r="D448" s="390"/>
      <c r="E448" s="389"/>
    </row>
    <row r="449" spans="3:5" s="388" customFormat="1" ht="15">
      <c r="C449" s="389"/>
      <c r="D449" s="390"/>
      <c r="E449" s="389"/>
    </row>
    <row r="450" spans="3:5" s="388" customFormat="1" ht="15">
      <c r="C450" s="389"/>
      <c r="D450" s="390"/>
      <c r="E450" s="389"/>
    </row>
    <row r="451" spans="3:5" s="388" customFormat="1" ht="15">
      <c r="C451" s="389"/>
      <c r="D451" s="390"/>
      <c r="E451" s="389"/>
    </row>
    <row r="452" spans="3:5" s="388" customFormat="1" ht="15">
      <c r="C452" s="389"/>
      <c r="D452" s="390"/>
      <c r="E452" s="389"/>
    </row>
    <row r="453" spans="3:5" s="388" customFormat="1" ht="15">
      <c r="C453" s="389"/>
      <c r="D453" s="390"/>
      <c r="E453" s="389"/>
    </row>
    <row r="454" spans="3:5" s="388" customFormat="1" ht="15">
      <c r="C454" s="389"/>
      <c r="D454" s="390"/>
      <c r="E454" s="389"/>
    </row>
    <row r="455" spans="3:5" s="388" customFormat="1" ht="15">
      <c r="C455" s="389"/>
      <c r="D455" s="390"/>
      <c r="E455" s="389"/>
    </row>
    <row r="456" spans="3:5" s="388" customFormat="1" ht="15">
      <c r="C456" s="389"/>
      <c r="D456" s="390"/>
      <c r="E456" s="389"/>
    </row>
    <row r="457" spans="3:5" s="388" customFormat="1" ht="15">
      <c r="C457" s="389"/>
      <c r="D457" s="390"/>
      <c r="E457" s="389"/>
    </row>
    <row r="458" spans="3:5" s="388" customFormat="1" ht="15">
      <c r="C458" s="389"/>
      <c r="D458" s="390"/>
      <c r="E458" s="389"/>
    </row>
    <row r="459" spans="3:5" s="388" customFormat="1" ht="15">
      <c r="C459" s="389"/>
      <c r="D459" s="390"/>
      <c r="E459" s="389"/>
    </row>
    <row r="460" spans="3:5" s="388" customFormat="1" ht="15">
      <c r="C460" s="389"/>
      <c r="D460" s="390"/>
      <c r="E460" s="389"/>
    </row>
    <row r="461" spans="3:5" s="388" customFormat="1" ht="15">
      <c r="C461" s="389"/>
      <c r="D461" s="390"/>
      <c r="E461" s="389"/>
    </row>
    <row r="462" spans="3:5" s="388" customFormat="1" ht="15">
      <c r="C462" s="389"/>
      <c r="D462" s="390"/>
      <c r="E462" s="389"/>
    </row>
    <row r="463" spans="3:5" s="388" customFormat="1" ht="15">
      <c r="C463" s="389"/>
      <c r="D463" s="390"/>
      <c r="E463" s="389"/>
    </row>
    <row r="464" spans="3:5" s="388" customFormat="1" ht="15">
      <c r="C464" s="389"/>
      <c r="D464" s="390"/>
      <c r="E464" s="389"/>
    </row>
    <row r="465" spans="3:5" s="388" customFormat="1" ht="15">
      <c r="C465" s="389"/>
      <c r="D465" s="390"/>
      <c r="E465" s="389"/>
    </row>
    <row r="466" spans="3:5" s="388" customFormat="1" ht="15">
      <c r="C466" s="389"/>
      <c r="D466" s="390"/>
      <c r="E466" s="389"/>
    </row>
    <row r="467" spans="3:5" s="388" customFormat="1" ht="15">
      <c r="C467" s="389"/>
      <c r="D467" s="390"/>
      <c r="E467" s="389"/>
    </row>
    <row r="468" spans="3:5" s="388" customFormat="1" ht="15">
      <c r="C468" s="389"/>
      <c r="D468" s="390"/>
      <c r="E468" s="389"/>
    </row>
    <row r="469" spans="3:5" s="388" customFormat="1" ht="15">
      <c r="C469" s="389"/>
      <c r="D469" s="390"/>
      <c r="E469" s="389"/>
    </row>
    <row r="470" spans="3:5" s="388" customFormat="1" ht="15">
      <c r="C470" s="389"/>
      <c r="D470" s="390"/>
      <c r="E470" s="389"/>
    </row>
    <row r="471" spans="3:5" s="388" customFormat="1" ht="15">
      <c r="C471" s="389"/>
      <c r="D471" s="390"/>
      <c r="E471" s="389"/>
    </row>
    <row r="472" spans="3:5" s="388" customFormat="1" ht="15">
      <c r="C472" s="389"/>
      <c r="D472" s="390"/>
      <c r="E472" s="389"/>
    </row>
    <row r="473" spans="3:5" s="388" customFormat="1" ht="15">
      <c r="C473" s="389"/>
      <c r="D473" s="390"/>
      <c r="E473" s="389"/>
    </row>
    <row r="474" spans="3:5" s="388" customFormat="1" ht="15">
      <c r="C474" s="389"/>
      <c r="D474" s="390"/>
      <c r="E474" s="389"/>
    </row>
    <row r="475" spans="3:5" s="388" customFormat="1" ht="15">
      <c r="C475" s="389"/>
      <c r="D475" s="390"/>
      <c r="E475" s="389"/>
    </row>
    <row r="476" spans="3:5" s="388" customFormat="1" ht="15">
      <c r="C476" s="389"/>
      <c r="D476" s="390"/>
      <c r="E476" s="389"/>
    </row>
    <row r="477" spans="3:5" s="388" customFormat="1" ht="15">
      <c r="C477" s="389"/>
      <c r="D477" s="390"/>
      <c r="E477" s="389"/>
    </row>
    <row r="478" spans="3:5" s="388" customFormat="1" ht="15">
      <c r="C478" s="389"/>
      <c r="D478" s="390"/>
      <c r="E478" s="389"/>
    </row>
    <row r="479" spans="3:5" s="388" customFormat="1" ht="15">
      <c r="C479" s="389"/>
      <c r="D479" s="390"/>
      <c r="E479" s="389"/>
    </row>
    <row r="480" spans="3:5" s="388" customFormat="1" ht="15">
      <c r="C480" s="389"/>
      <c r="D480" s="390"/>
      <c r="E480" s="389"/>
    </row>
    <row r="481" spans="3:5" s="388" customFormat="1" ht="15">
      <c r="C481" s="389"/>
      <c r="D481" s="390"/>
      <c r="E481" s="389"/>
    </row>
    <row r="482" spans="3:5" s="388" customFormat="1" ht="15">
      <c r="C482" s="389"/>
      <c r="D482" s="390"/>
      <c r="E482" s="389"/>
    </row>
    <row r="483" spans="3:5" s="388" customFormat="1" ht="15">
      <c r="C483" s="389"/>
      <c r="D483" s="390"/>
      <c r="E483" s="389"/>
    </row>
    <row r="484" spans="3:5" s="388" customFormat="1" ht="15">
      <c r="C484" s="389"/>
      <c r="D484" s="390"/>
      <c r="E484" s="389"/>
    </row>
    <row r="485" spans="3:5" s="388" customFormat="1" ht="15">
      <c r="C485" s="389"/>
      <c r="D485" s="390"/>
      <c r="E485" s="389"/>
    </row>
    <row r="486" spans="3:5" s="388" customFormat="1" ht="15">
      <c r="C486" s="389"/>
      <c r="D486" s="390"/>
      <c r="E486" s="389"/>
    </row>
    <row r="487" spans="3:5" s="388" customFormat="1" ht="15">
      <c r="C487" s="389"/>
      <c r="D487" s="390"/>
      <c r="E487" s="389"/>
    </row>
    <row r="488" spans="3:5" s="388" customFormat="1" ht="15">
      <c r="C488" s="389"/>
      <c r="D488" s="390"/>
      <c r="E488" s="389"/>
    </row>
    <row r="489" spans="3:5" s="388" customFormat="1" ht="15">
      <c r="C489" s="389"/>
      <c r="D489" s="390"/>
      <c r="E489" s="389"/>
    </row>
    <row r="490" spans="3:5" s="388" customFormat="1" ht="15">
      <c r="C490" s="389"/>
      <c r="D490" s="390"/>
      <c r="E490" s="389"/>
    </row>
    <row r="491" spans="3:5" s="388" customFormat="1" ht="15">
      <c r="C491" s="389"/>
      <c r="D491" s="390"/>
      <c r="E491" s="389"/>
    </row>
    <row r="492" spans="3:5" s="388" customFormat="1" ht="15">
      <c r="C492" s="389"/>
      <c r="D492" s="390"/>
      <c r="E492" s="389"/>
    </row>
    <row r="493" spans="3:5" s="388" customFormat="1" ht="15">
      <c r="C493" s="389"/>
      <c r="D493" s="390"/>
      <c r="E493" s="389"/>
    </row>
    <row r="494" spans="3:5" s="388" customFormat="1" ht="15">
      <c r="C494" s="389"/>
      <c r="D494" s="390"/>
      <c r="E494" s="389"/>
    </row>
    <row r="495" spans="3:5" s="388" customFormat="1" ht="15">
      <c r="C495" s="389"/>
      <c r="D495" s="390"/>
      <c r="E495" s="389"/>
    </row>
    <row r="496" spans="3:5" s="388" customFormat="1" ht="15">
      <c r="C496" s="389"/>
      <c r="D496" s="390"/>
      <c r="E496" s="389"/>
    </row>
    <row r="497" spans="3:5" s="388" customFormat="1" ht="15">
      <c r="C497" s="389"/>
      <c r="D497" s="390"/>
      <c r="E497" s="389"/>
    </row>
    <row r="498" spans="3:5" s="388" customFormat="1" ht="15">
      <c r="C498" s="389"/>
      <c r="D498" s="390"/>
      <c r="E498" s="389"/>
    </row>
    <row r="499" spans="3:5" s="388" customFormat="1" ht="15">
      <c r="C499" s="389"/>
      <c r="D499" s="390"/>
      <c r="E499" s="389"/>
    </row>
    <row r="500" spans="3:5" s="388" customFormat="1" ht="15">
      <c r="C500" s="389"/>
      <c r="D500" s="390"/>
      <c r="E500" s="389"/>
    </row>
    <row r="501" spans="3:5" s="388" customFormat="1" ht="15">
      <c r="C501" s="389"/>
      <c r="D501" s="390"/>
      <c r="E501" s="389"/>
    </row>
    <row r="502" spans="3:5" s="388" customFormat="1" ht="15">
      <c r="C502" s="389"/>
      <c r="D502" s="390"/>
      <c r="E502" s="389"/>
    </row>
    <row r="503" spans="3:5" s="388" customFormat="1" ht="15">
      <c r="C503" s="389"/>
      <c r="D503" s="390"/>
      <c r="E503" s="389"/>
    </row>
    <row r="504" spans="3:5" s="388" customFormat="1" ht="15">
      <c r="C504" s="389"/>
      <c r="D504" s="390"/>
      <c r="E504" s="389"/>
    </row>
    <row r="505" spans="3:5" s="388" customFormat="1" ht="15">
      <c r="C505" s="389"/>
      <c r="D505" s="390"/>
      <c r="E505" s="389"/>
    </row>
    <row r="506" spans="3:5" s="388" customFormat="1" ht="15">
      <c r="C506" s="389"/>
      <c r="D506" s="390"/>
      <c r="E506" s="389"/>
    </row>
    <row r="507" spans="3:5" s="388" customFormat="1" ht="15">
      <c r="C507" s="389"/>
      <c r="D507" s="390"/>
      <c r="E507" s="389"/>
    </row>
    <row r="508" spans="3:5" s="388" customFormat="1" ht="15">
      <c r="C508" s="389"/>
      <c r="D508" s="390"/>
      <c r="E508" s="389"/>
    </row>
    <row r="509" spans="3:5" s="388" customFormat="1" ht="15">
      <c r="C509" s="389"/>
      <c r="D509" s="390"/>
      <c r="E509" s="389"/>
    </row>
    <row r="510" spans="3:5" s="388" customFormat="1" ht="15">
      <c r="C510" s="389"/>
      <c r="D510" s="390"/>
      <c r="E510" s="389"/>
    </row>
    <row r="511" spans="3:5" s="388" customFormat="1" ht="15">
      <c r="C511" s="389"/>
      <c r="D511" s="390"/>
      <c r="E511" s="389"/>
    </row>
  </sheetData>
  <sheetProtection selectLockedCells="1" selectUnlockedCells="1"/>
  <mergeCells count="1">
    <mergeCell ref="B2:E2"/>
  </mergeCells>
  <printOptions horizontalCentered="1"/>
  <pageMargins left="0.6299212598425197" right="0.7086614173228347" top="0.73" bottom="0.2755905511811024" header="0.4330708661417323" footer="0.2755905511811024"/>
  <pageSetup horizontalDpi="600" verticalDpi="600" orientation="landscape" paperSize="9" r:id="rId2"/>
  <headerFooter alignWithMargins="0">
    <oddHeader>&amp;C&amp;"Arial,Negrita"&amp;14RESUMEN</oddHeader>
    <oddFooter>&amp;CAnexo 1 página 1</oddFooter>
  </headerFooter>
  <drawing r:id="rId1"/>
</worksheet>
</file>

<file path=xl/worksheets/sheet2.xml><?xml version="1.0" encoding="utf-8"?>
<worksheet xmlns="http://schemas.openxmlformats.org/spreadsheetml/2006/main" xmlns:r="http://schemas.openxmlformats.org/officeDocument/2006/relationships">
  <sheetPr codeName="Tabelle1">
    <pageSetUpPr fitToPage="1"/>
  </sheetPr>
  <dimension ref="B4:P90"/>
  <sheetViews>
    <sheetView zoomScale="75" zoomScaleNormal="75" zoomScaleSheetLayoutView="75" zoomScalePageLayoutView="0" workbookViewId="0" topLeftCell="A1">
      <selection activeCell="O20" sqref="O20"/>
    </sheetView>
  </sheetViews>
  <sheetFormatPr defaultColWidth="11.421875" defaultRowHeight="12.75"/>
  <cols>
    <col min="1" max="1" width="2.421875" style="217" customWidth="1"/>
    <col min="2" max="2" width="2.57421875" style="0" customWidth="1"/>
    <col min="3" max="3" width="38.28125" style="0" customWidth="1"/>
    <col min="4" max="4" width="10.57421875" style="0" customWidth="1"/>
    <col min="5" max="5" width="15.57421875" style="0" customWidth="1"/>
    <col min="7" max="7" width="41.8515625" style="0" bestFit="1" customWidth="1"/>
    <col min="9" max="9" width="15.8515625" style="0" customWidth="1"/>
    <col min="10" max="10" width="16.7109375" style="0" bestFit="1" customWidth="1"/>
    <col min="11" max="11" width="18.421875" style="217" customWidth="1"/>
    <col min="12" max="29" width="10.8515625" style="217" customWidth="1"/>
  </cols>
  <sheetData>
    <row r="1" s="217" customFormat="1" ht="12.75"/>
    <row r="2" s="217" customFormat="1" ht="12.75"/>
    <row r="3" s="217" customFormat="1" ht="13.5" thickBot="1"/>
    <row r="4" spans="2:13" ht="16.5" thickBot="1">
      <c r="B4" s="476" t="s">
        <v>105</v>
      </c>
      <c r="C4" s="61"/>
      <c r="D4" s="62"/>
      <c r="E4" s="484" t="s">
        <v>143</v>
      </c>
      <c r="F4" s="485"/>
      <c r="G4" s="485"/>
      <c r="H4" s="62"/>
      <c r="I4" s="62" t="str">
        <f>IF(C8="Deutsch","Version vom","Version")</f>
        <v>Version</v>
      </c>
      <c r="J4" s="78"/>
      <c r="M4" s="452"/>
    </row>
    <row r="5" spans="2:13" ht="12.75">
      <c r="B5" s="151" t="s">
        <v>106</v>
      </c>
      <c r="C5" s="150"/>
      <c r="D5" s="63"/>
      <c r="E5" s="63" t="s">
        <v>107</v>
      </c>
      <c r="F5" s="75" t="s">
        <v>145</v>
      </c>
      <c r="G5" s="63"/>
      <c r="H5" s="63"/>
      <c r="I5" s="63" t="s">
        <v>112</v>
      </c>
      <c r="J5" s="79"/>
      <c r="L5" s="453"/>
      <c r="M5" s="453" t="s">
        <v>0</v>
      </c>
    </row>
    <row r="6" spans="2:13" ht="12.75">
      <c r="B6" s="151"/>
      <c r="C6" s="150"/>
      <c r="D6" s="63"/>
      <c r="E6" s="63" t="s">
        <v>108</v>
      </c>
      <c r="F6" s="152" t="s">
        <v>144</v>
      </c>
      <c r="G6" s="65"/>
      <c r="H6" s="63"/>
      <c r="I6" s="63" t="s">
        <v>113</v>
      </c>
      <c r="J6" s="80"/>
      <c r="L6" s="453"/>
      <c r="M6" s="453" t="s">
        <v>13</v>
      </c>
    </row>
    <row r="7" spans="2:13" ht="12.75">
      <c r="B7" s="66"/>
      <c r="C7" s="63"/>
      <c r="D7" s="63"/>
      <c r="E7" s="63" t="s">
        <v>109</v>
      </c>
      <c r="F7" s="76" t="s">
        <v>31</v>
      </c>
      <c r="G7" s="63"/>
      <c r="H7" s="63"/>
      <c r="I7" s="480" t="s">
        <v>114</v>
      </c>
      <c r="J7" s="481"/>
      <c r="L7" s="453" t="s">
        <v>55</v>
      </c>
      <c r="M7" s="453" t="s">
        <v>9</v>
      </c>
    </row>
    <row r="8" spans="2:13" ht="13.5" thickBot="1">
      <c r="B8" s="67"/>
      <c r="C8" s="69"/>
      <c r="D8" s="68"/>
      <c r="E8" s="68" t="s">
        <v>110</v>
      </c>
      <c r="F8" s="77">
        <v>2017</v>
      </c>
      <c r="G8" s="68" t="s">
        <v>111</v>
      </c>
      <c r="H8" s="77">
        <v>1</v>
      </c>
      <c r="I8" s="482" t="str">
        <f>IF(C8="Deutsch","Seite 1 von 2","Page 1 of 2")</f>
        <v>Page 1 of 2</v>
      </c>
      <c r="J8" s="483"/>
      <c r="L8" s="453" t="s">
        <v>56</v>
      </c>
      <c r="M8" s="453" t="s">
        <v>104</v>
      </c>
    </row>
    <row r="9" s="217" customFormat="1" ht="12.75"/>
    <row r="10" spans="2:10" ht="12.75">
      <c r="B10" s="18"/>
      <c r="C10" s="16"/>
      <c r="D10" s="16"/>
      <c r="E10" s="19" t="str">
        <f>IF(C8="Deutsch","Eingabefelder sind rot/gelb markiert","Inputareas are colored in WHITE")</f>
        <v>Inputareas are colored in WHITE</v>
      </c>
      <c r="F10" s="16"/>
      <c r="G10" s="16"/>
      <c r="H10" s="16"/>
      <c r="I10" s="16"/>
      <c r="J10" s="17"/>
    </row>
    <row r="11" s="217" customFormat="1" ht="12.75"/>
    <row r="12" spans="2:10" ht="12.75">
      <c r="B12" s="464" t="s">
        <v>1</v>
      </c>
      <c r="C12" s="465" t="s">
        <v>115</v>
      </c>
      <c r="D12" s="466"/>
      <c r="E12" s="466"/>
      <c r="F12" s="466"/>
      <c r="G12" s="466"/>
      <c r="H12" s="466"/>
      <c r="I12" s="466"/>
      <c r="J12" s="467"/>
    </row>
    <row r="13" spans="2:10" ht="12.75">
      <c r="B13" s="70"/>
      <c r="C13" s="63" t="s">
        <v>116</v>
      </c>
      <c r="D13" s="21">
        <v>0.025</v>
      </c>
      <c r="E13" s="63"/>
      <c r="F13" s="63"/>
      <c r="G13" s="63"/>
      <c r="H13" s="63"/>
      <c r="I13" s="91"/>
      <c r="J13" s="73"/>
    </row>
    <row r="14" spans="2:10" ht="12.75">
      <c r="B14" s="70"/>
      <c r="C14" s="63" t="s">
        <v>117</v>
      </c>
      <c r="D14" s="21">
        <v>0.16</v>
      </c>
      <c r="E14" s="63"/>
      <c r="F14" s="63"/>
      <c r="G14" s="63" t="s">
        <v>118</v>
      </c>
      <c r="H14" s="63"/>
      <c r="I14" s="5">
        <v>0.03</v>
      </c>
      <c r="J14" s="73"/>
    </row>
    <row r="15" spans="2:10" ht="12.75">
      <c r="B15" s="71"/>
      <c r="C15" s="72" t="s">
        <v>153</v>
      </c>
      <c r="D15" s="20">
        <v>15</v>
      </c>
      <c r="E15" s="72"/>
      <c r="F15" s="72"/>
      <c r="G15" s="72" t="s">
        <v>119</v>
      </c>
      <c r="H15" s="72"/>
      <c r="I15" s="7">
        <v>0.02</v>
      </c>
      <c r="J15" s="74"/>
    </row>
    <row r="16" spans="15:16" s="217" customFormat="1" ht="12.75">
      <c r="O16" s="454"/>
      <c r="P16" s="454"/>
    </row>
    <row r="17" spans="2:10" ht="12.75">
      <c r="B17" s="471" t="s">
        <v>2</v>
      </c>
      <c r="C17" s="468" t="s">
        <v>120</v>
      </c>
      <c r="D17" s="469"/>
      <c r="E17" s="469"/>
      <c r="F17" s="469"/>
      <c r="G17" s="468"/>
      <c r="H17" s="469"/>
      <c r="I17" s="469"/>
      <c r="J17" s="470"/>
    </row>
    <row r="18" spans="2:10" ht="12.75">
      <c r="B18" s="70"/>
      <c r="C18" s="63"/>
      <c r="D18" s="63"/>
      <c r="E18" s="81"/>
      <c r="F18" s="63"/>
      <c r="G18" s="63"/>
      <c r="H18" s="63"/>
      <c r="I18" s="63"/>
      <c r="J18" s="82"/>
    </row>
    <row r="19" spans="2:10" ht="12.75">
      <c r="B19" s="70"/>
      <c r="C19" s="63" t="s">
        <v>121</v>
      </c>
      <c r="D19" s="63"/>
      <c r="E19" s="88">
        <v>1150</v>
      </c>
      <c r="F19" s="63"/>
      <c r="G19" s="63" t="s">
        <v>124</v>
      </c>
      <c r="H19" s="63"/>
      <c r="I19" s="63"/>
      <c r="J19" s="84">
        <f>E21*20</f>
        <v>4600</v>
      </c>
    </row>
    <row r="20" spans="2:10" ht="12.75">
      <c r="B20" s="70"/>
      <c r="C20" s="63" t="s">
        <v>122</v>
      </c>
      <c r="D20" s="63"/>
      <c r="E20" s="89">
        <v>0.2</v>
      </c>
      <c r="F20" s="63"/>
      <c r="G20" s="63"/>
      <c r="H20" s="63"/>
      <c r="I20" s="63"/>
      <c r="J20" s="85"/>
    </row>
    <row r="21" spans="2:10" ht="12.75">
      <c r="B21" s="71"/>
      <c r="C21" s="72" t="s">
        <v>123</v>
      </c>
      <c r="D21" s="72"/>
      <c r="E21" s="86">
        <f>E19*E20</f>
        <v>230</v>
      </c>
      <c r="F21" s="72"/>
      <c r="G21" s="72"/>
      <c r="H21" s="72"/>
      <c r="I21" s="72"/>
      <c r="J21" s="87"/>
    </row>
    <row r="22" s="217" customFormat="1" ht="12.75"/>
    <row r="23" spans="2:10" ht="12.75">
      <c r="B23" s="464" t="s">
        <v>4</v>
      </c>
      <c r="C23" s="465" t="s">
        <v>125</v>
      </c>
      <c r="D23" s="466"/>
      <c r="E23" s="466"/>
      <c r="F23" s="466"/>
      <c r="G23" s="466"/>
      <c r="H23" s="466"/>
      <c r="I23" s="466"/>
      <c r="J23" s="467"/>
    </row>
    <row r="24" spans="2:11" ht="12.75">
      <c r="B24" s="70"/>
      <c r="C24" s="63" t="s">
        <v>126</v>
      </c>
      <c r="D24" s="63"/>
      <c r="E24" s="92">
        <f>E21*J24</f>
        <v>327750</v>
      </c>
      <c r="F24" s="63"/>
      <c r="G24" s="63" t="s">
        <v>130</v>
      </c>
      <c r="H24" s="63"/>
      <c r="I24" s="63"/>
      <c r="J24" s="90">
        <v>1425</v>
      </c>
      <c r="K24" s="455"/>
    </row>
    <row r="25" spans="2:11" ht="12.75">
      <c r="B25" s="70"/>
      <c r="C25" s="63" t="s">
        <v>127</v>
      </c>
      <c r="D25" s="100">
        <v>0</v>
      </c>
      <c r="E25" s="92">
        <f>E24*D25</f>
        <v>0</v>
      </c>
      <c r="F25" s="63"/>
      <c r="G25" s="63" t="s">
        <v>131</v>
      </c>
      <c r="H25" s="63"/>
      <c r="I25" s="63"/>
      <c r="J25" s="103">
        <v>1</v>
      </c>
      <c r="K25" s="455"/>
    </row>
    <row r="26" spans="2:10" ht="12.75">
      <c r="B26" s="70"/>
      <c r="C26" s="63" t="s">
        <v>128</v>
      </c>
      <c r="D26" s="101">
        <v>0</v>
      </c>
      <c r="E26" s="95">
        <f>D26*E24</f>
        <v>0</v>
      </c>
      <c r="F26" s="63"/>
      <c r="G26" s="63" t="s">
        <v>132</v>
      </c>
      <c r="H26" s="96"/>
      <c r="I26" s="96"/>
      <c r="J26" s="103">
        <v>1</v>
      </c>
    </row>
    <row r="27" spans="2:10" ht="12.75">
      <c r="B27" s="70"/>
      <c r="C27" s="63" t="s">
        <v>129</v>
      </c>
      <c r="D27" s="94"/>
      <c r="E27" s="95">
        <f>E24+E25-E26</f>
        <v>327750</v>
      </c>
      <c r="F27" s="63"/>
      <c r="G27" s="63" t="s">
        <v>133</v>
      </c>
      <c r="H27" s="63"/>
      <c r="I27" s="63"/>
      <c r="J27" s="84">
        <f>AVERAGE(result!G17:AE17)</f>
        <v>113898.15058993577</v>
      </c>
    </row>
    <row r="28" spans="2:10" ht="12.75">
      <c r="B28" s="70"/>
      <c r="C28" s="63" t="s">
        <v>33</v>
      </c>
      <c r="D28" s="63"/>
      <c r="E28" s="102">
        <v>0.32</v>
      </c>
      <c r="F28" s="96"/>
      <c r="G28" s="63" t="s">
        <v>134</v>
      </c>
      <c r="H28" s="64"/>
      <c r="I28" s="64"/>
      <c r="J28" s="104">
        <v>0.015</v>
      </c>
    </row>
    <row r="29" spans="2:10" ht="12.75" hidden="1">
      <c r="B29" s="70"/>
      <c r="C29" s="64" t="str">
        <f>IF(C8="Deutsch","Mittlere Vergütung über die Laufzeit von 20 Jahren)","medium revenues for next 20 years")</f>
        <v>medium revenues for next 20 years</v>
      </c>
      <c r="D29" s="64"/>
      <c r="E29" s="96"/>
      <c r="F29" s="96"/>
      <c r="G29" s="96"/>
      <c r="H29" s="96"/>
      <c r="I29" s="64"/>
      <c r="J29" s="105"/>
    </row>
    <row r="30" spans="2:10" ht="12.75" hidden="1">
      <c r="B30" s="70"/>
      <c r="C30" s="63" t="str">
        <f>IF($C$8="Deutsch","1. Jahr [€/kWh]","1st year [€/kWh]")</f>
        <v>1st year [€/kWh]</v>
      </c>
      <c r="D30" s="83"/>
      <c r="E30" s="97">
        <v>0.414</v>
      </c>
      <c r="F30" s="63"/>
      <c r="G30" s="63" t="str">
        <f>IF($C$8="Deutsch","11. Jahr [€/kWh]","11th year [€/kWh]")</f>
        <v>11th year [€/kWh]</v>
      </c>
      <c r="H30" s="63"/>
      <c r="I30" s="63"/>
      <c r="J30" s="106">
        <v>0.414</v>
      </c>
    </row>
    <row r="31" spans="2:10" ht="12.75" hidden="1">
      <c r="B31" s="70"/>
      <c r="C31" s="63" t="str">
        <f>IF($C$8="Deutsch","2. Jahr [€/kWh]","2nd year [€/kWh]")</f>
        <v>2nd year [€/kWh]</v>
      </c>
      <c r="D31" s="63"/>
      <c r="E31" s="98">
        <v>0.414</v>
      </c>
      <c r="F31" s="63"/>
      <c r="G31" s="63" t="str">
        <f>IF($C$8="Deutsch","12. Jahr [€/kWh]","12th year [€/kWh]")</f>
        <v>12th year [€/kWh]</v>
      </c>
      <c r="H31" s="63"/>
      <c r="I31" s="63"/>
      <c r="J31" s="106">
        <v>0.414</v>
      </c>
    </row>
    <row r="32" spans="2:10" ht="12.75" hidden="1">
      <c r="B32" s="70"/>
      <c r="C32" s="63" t="str">
        <f>IF($C$8="Deutsch","3. Jahr [€/kWh]","3rd year [€/kWh]")</f>
        <v>3rd year [€/kWh]</v>
      </c>
      <c r="D32" s="63"/>
      <c r="E32" s="98">
        <v>0.414</v>
      </c>
      <c r="F32" s="63"/>
      <c r="G32" s="63" t="str">
        <f>IF($C$8="Deutsch","13. Jahr [€/kWh]","13th year [€/kWh]")</f>
        <v>13th year [€/kWh]</v>
      </c>
      <c r="H32" s="63"/>
      <c r="I32" s="63"/>
      <c r="J32" s="106">
        <v>0.414</v>
      </c>
    </row>
    <row r="33" spans="2:10" ht="12.75" hidden="1">
      <c r="B33" s="70"/>
      <c r="C33" s="63" t="str">
        <f>IF($C$8="Deutsch","4. Jahr [€/kWh]","4th year [€/kWh]")</f>
        <v>4th year [€/kWh]</v>
      </c>
      <c r="D33" s="63"/>
      <c r="E33" s="98">
        <v>0.414</v>
      </c>
      <c r="F33" s="63"/>
      <c r="G33" s="63" t="str">
        <f>IF($C$8="Deutsch","14. Jahr [€/kWh]","14th year [€/kWh]")</f>
        <v>14th year [€/kWh]</v>
      </c>
      <c r="H33" s="63"/>
      <c r="I33" s="63"/>
      <c r="J33" s="106">
        <v>0.414</v>
      </c>
    </row>
    <row r="34" spans="2:10" ht="12.75" hidden="1">
      <c r="B34" s="70"/>
      <c r="C34" s="63" t="str">
        <f>IF($C$8="Deutsch","5. Jahr [€/kWh]","5th year [€/kWh]")</f>
        <v>5th year [€/kWh]</v>
      </c>
      <c r="D34" s="63"/>
      <c r="E34" s="98">
        <v>0.414</v>
      </c>
      <c r="F34" s="63"/>
      <c r="G34" s="63" t="str">
        <f>IF($C$8="Deutsch","15. Jahr [€/kWh]","15th year [€/kWh]")</f>
        <v>15th year [€/kWh]</v>
      </c>
      <c r="H34" s="63"/>
      <c r="I34" s="63"/>
      <c r="J34" s="106">
        <v>0.414</v>
      </c>
    </row>
    <row r="35" spans="2:10" ht="12.75" hidden="1">
      <c r="B35" s="70"/>
      <c r="C35" s="63" t="str">
        <f>IF($C$8="Deutsch","6. Jahr [€/kWh]","6th year [€/kWh]")</f>
        <v>6th year [€/kWh]</v>
      </c>
      <c r="D35" s="63"/>
      <c r="E35" s="98">
        <v>0.414</v>
      </c>
      <c r="F35" s="63"/>
      <c r="G35" s="63" t="str">
        <f>IF($C$8="Deutsch","16. Jahr [€/kWh]","16th year [€/kWh]")</f>
        <v>16th year [€/kWh]</v>
      </c>
      <c r="H35" s="63"/>
      <c r="I35" s="63"/>
      <c r="J35" s="106">
        <v>0.414</v>
      </c>
    </row>
    <row r="36" spans="2:10" ht="12.75" hidden="1">
      <c r="B36" s="70"/>
      <c r="C36" s="63" t="str">
        <f>IF($C$8="Deutsch","7. Jahr [€/kWh]","7th year [€/kWh]")</f>
        <v>7th year [€/kWh]</v>
      </c>
      <c r="D36" s="63"/>
      <c r="E36" s="98">
        <v>0.414</v>
      </c>
      <c r="F36" s="63"/>
      <c r="G36" s="63" t="str">
        <f>IF($C$8="Deutsch","17. Jahr [€/kWh]","17th year [€/kWh]")</f>
        <v>17th year [€/kWh]</v>
      </c>
      <c r="H36" s="63"/>
      <c r="I36" s="63"/>
      <c r="J36" s="106">
        <v>0.414</v>
      </c>
    </row>
    <row r="37" spans="2:14" ht="12.75" hidden="1">
      <c r="B37" s="70"/>
      <c r="C37" s="63" t="str">
        <f>IF($C$8="Deutsch","8. Jahr [€/kWh]","8th year [€/kWh]")</f>
        <v>8th year [€/kWh]</v>
      </c>
      <c r="D37" s="63"/>
      <c r="E37" s="98">
        <v>0.414</v>
      </c>
      <c r="F37" s="63"/>
      <c r="G37" s="63" t="str">
        <f>IF($C$8="Deutsch","18. Jahr [€/kWh]","18th year [€/kWh]")</f>
        <v>18th year [€/kWh]</v>
      </c>
      <c r="H37" s="63"/>
      <c r="I37" s="63"/>
      <c r="J37" s="106">
        <v>0.414</v>
      </c>
      <c r="N37" s="456"/>
    </row>
    <row r="38" spans="2:14" ht="12.75" hidden="1">
      <c r="B38" s="70"/>
      <c r="C38" s="63" t="str">
        <f>IF($C$8="Deutsch","9. Jahr [€/kWh]","9th year [€/kWh]")</f>
        <v>9th year [€/kWh]</v>
      </c>
      <c r="D38" s="63"/>
      <c r="E38" s="98">
        <v>0.414</v>
      </c>
      <c r="F38" s="63"/>
      <c r="G38" s="63" t="str">
        <f>IF($C$8="Deutsch","19. Jahr [€/kWh]","19th year [€/kWh]")</f>
        <v>19th year [€/kWh]</v>
      </c>
      <c r="H38" s="63"/>
      <c r="I38" s="63"/>
      <c r="J38" s="106">
        <v>0.414</v>
      </c>
      <c r="N38" s="456"/>
    </row>
    <row r="39" spans="2:14" ht="12.75" hidden="1">
      <c r="B39" s="70"/>
      <c r="C39" s="63" t="str">
        <f>IF($C$8="Deutsch","10. Jahr [€/kWh]","10th year [€/kWh]")</f>
        <v>10th year [€/kWh]</v>
      </c>
      <c r="D39" s="63"/>
      <c r="E39" s="98">
        <v>0.414</v>
      </c>
      <c r="F39" s="63"/>
      <c r="G39" s="63" t="str">
        <f>IF($C$8="Deutsch","20. Jahr [€/kWh]","20th year [€/kWh]")</f>
        <v>20th year [€/kWh]</v>
      </c>
      <c r="H39" s="63"/>
      <c r="I39" s="63"/>
      <c r="J39" s="106">
        <v>0.414</v>
      </c>
      <c r="N39" s="456"/>
    </row>
    <row r="40" spans="2:14" ht="12.75" hidden="1">
      <c r="B40" s="71"/>
      <c r="C40" s="72" t="str">
        <f>IF(C8="Deutsch","mittlere Vergütung über 20 Jahre [€/kWh]","medium revenues over operating period [€/kWh]")</f>
        <v>medium revenues over operating period [€/kWh]</v>
      </c>
      <c r="D40" s="72"/>
      <c r="E40" s="99">
        <f>AVERAGE(E30:E39,J30:J39)</f>
        <v>0.41399999999999987</v>
      </c>
      <c r="F40" s="72"/>
      <c r="G40" s="72"/>
      <c r="H40" s="72"/>
      <c r="I40" s="72"/>
      <c r="J40" s="107"/>
      <c r="N40" s="456"/>
    </row>
    <row r="41" spans="2:14" ht="12.75">
      <c r="B41" s="96"/>
      <c r="C41" s="96"/>
      <c r="D41" s="96"/>
      <c r="E41" s="96"/>
      <c r="F41" s="96"/>
      <c r="G41" s="96" t="s">
        <v>139</v>
      </c>
      <c r="H41" s="96"/>
      <c r="I41" s="96"/>
      <c r="J41" s="108">
        <v>0.005</v>
      </c>
      <c r="N41" s="456"/>
    </row>
    <row r="42" spans="2:14" ht="12.75">
      <c r="B42" s="471" t="s">
        <v>5</v>
      </c>
      <c r="C42" s="468" t="s">
        <v>135</v>
      </c>
      <c r="D42" s="469"/>
      <c r="E42" s="469"/>
      <c r="F42" s="469"/>
      <c r="G42" s="469"/>
      <c r="H42" s="469"/>
      <c r="I42" s="469"/>
      <c r="J42" s="470"/>
      <c r="N42" s="456"/>
    </row>
    <row r="43" spans="2:14" ht="12.75">
      <c r="B43" s="70"/>
      <c r="C43" s="63" t="s">
        <v>136</v>
      </c>
      <c r="D43" s="63"/>
      <c r="E43" s="111">
        <f>(E21*J45)</f>
        <v>736000</v>
      </c>
      <c r="F43" s="63"/>
      <c r="G43" s="63"/>
      <c r="H43" s="63"/>
      <c r="I43" s="63"/>
      <c r="J43" s="112"/>
      <c r="K43" s="219"/>
      <c r="N43" s="456"/>
    </row>
    <row r="44" spans="2:14" ht="12.75">
      <c r="B44" s="70"/>
      <c r="C44" s="63" t="s">
        <v>117</v>
      </c>
      <c r="D44" s="93">
        <f>D14</f>
        <v>0.16</v>
      </c>
      <c r="E44" s="111">
        <f>D44*kp</f>
        <v>117760</v>
      </c>
      <c r="F44" s="63"/>
      <c r="G44" s="63"/>
      <c r="H44" s="63"/>
      <c r="I44" s="63"/>
      <c r="J44" s="112"/>
      <c r="K44" s="219"/>
      <c r="N44" s="456"/>
    </row>
    <row r="45" spans="2:14" ht="12.75">
      <c r="B45" s="70"/>
      <c r="C45" s="63" t="s">
        <v>137</v>
      </c>
      <c r="D45" s="109">
        <v>0</v>
      </c>
      <c r="E45" s="113">
        <f>D45*kp</f>
        <v>0</v>
      </c>
      <c r="F45" s="63"/>
      <c r="G45" s="63" t="s">
        <v>140</v>
      </c>
      <c r="H45" s="63"/>
      <c r="I45" s="118"/>
      <c r="J45" s="110">
        <v>3200</v>
      </c>
      <c r="N45" s="456"/>
    </row>
    <row r="46" spans="2:10" ht="12.75">
      <c r="B46" s="71"/>
      <c r="C46" s="149" t="s">
        <v>138</v>
      </c>
      <c r="D46" s="72"/>
      <c r="E46" s="115">
        <f>SUM(E43:E45)</f>
        <v>853760</v>
      </c>
      <c r="F46" s="72"/>
      <c r="G46" s="71"/>
      <c r="H46" s="72"/>
      <c r="I46" s="117"/>
      <c r="J46" s="116"/>
    </row>
    <row r="47" s="217" customFormat="1" ht="12.75">
      <c r="J47" s="107"/>
    </row>
    <row r="48" spans="2:10" ht="12.75">
      <c r="B48" s="472" t="s">
        <v>8</v>
      </c>
      <c r="C48" s="473" t="s">
        <v>141</v>
      </c>
      <c r="D48" s="474"/>
      <c r="E48" s="475"/>
      <c r="F48" s="466"/>
      <c r="G48" s="466"/>
      <c r="H48" s="466"/>
      <c r="I48" s="466"/>
      <c r="J48" s="467"/>
    </row>
    <row r="49" spans="2:10" ht="12.75">
      <c r="B49" s="70" t="s">
        <v>10</v>
      </c>
      <c r="C49" s="63" t="s">
        <v>142</v>
      </c>
      <c r="D49" s="119">
        <f>1-D50-I52</f>
        <v>1</v>
      </c>
      <c r="E49" s="95">
        <f>D49*E46</f>
        <v>853760</v>
      </c>
      <c r="F49" s="63"/>
      <c r="G49" s="63" t="s">
        <v>151</v>
      </c>
      <c r="H49" s="63"/>
      <c r="I49" s="63"/>
      <c r="J49" s="127">
        <v>0</v>
      </c>
    </row>
    <row r="50" spans="2:10" ht="12.75">
      <c r="B50" s="70" t="s">
        <v>23</v>
      </c>
      <c r="C50" s="63" t="s">
        <v>146</v>
      </c>
      <c r="D50" s="121">
        <v>0</v>
      </c>
      <c r="E50" s="95">
        <f>D50*E46</f>
        <v>0</v>
      </c>
      <c r="F50" s="63"/>
      <c r="G50" s="63"/>
      <c r="H50" s="63"/>
      <c r="I50" s="63"/>
      <c r="J50" s="73"/>
    </row>
    <row r="51" spans="2:15" ht="12.75">
      <c r="B51" s="70" t="s">
        <v>24</v>
      </c>
      <c r="C51" s="153" t="s">
        <v>147</v>
      </c>
      <c r="D51" s="124"/>
      <c r="E51" s="95"/>
      <c r="F51" s="63"/>
      <c r="G51" s="63"/>
      <c r="H51" s="63"/>
      <c r="I51" s="63"/>
      <c r="J51" s="73"/>
      <c r="M51" s="219"/>
      <c r="O51" s="456"/>
    </row>
    <row r="52" spans="2:15" ht="12.75">
      <c r="B52" s="70"/>
      <c r="C52" s="63" t="s">
        <v>148</v>
      </c>
      <c r="D52" s="122">
        <v>0</v>
      </c>
      <c r="E52" s="63"/>
      <c r="F52" s="63"/>
      <c r="G52" s="63" t="s">
        <v>152</v>
      </c>
      <c r="H52" s="63"/>
      <c r="I52" s="126">
        <v>0</v>
      </c>
      <c r="J52" s="84">
        <f>I52*is</f>
        <v>0</v>
      </c>
      <c r="N52" s="456"/>
      <c r="O52" s="456"/>
    </row>
    <row r="53" spans="2:15" ht="12.75">
      <c r="B53" s="70"/>
      <c r="C53" s="63" t="s">
        <v>149</v>
      </c>
      <c r="D53" s="123">
        <v>0</v>
      </c>
      <c r="E53" s="63"/>
      <c r="F53" s="63"/>
      <c r="G53" s="63" t="s">
        <v>154</v>
      </c>
      <c r="H53" s="63"/>
      <c r="I53" s="120">
        <f>D52</f>
        <v>0</v>
      </c>
      <c r="J53" s="84"/>
      <c r="N53" s="456"/>
      <c r="O53" s="456"/>
    </row>
    <row r="54" spans="2:15" ht="12.75">
      <c r="B54" s="71"/>
      <c r="C54" s="72" t="s">
        <v>150</v>
      </c>
      <c r="D54" s="125">
        <v>0.05</v>
      </c>
      <c r="E54" s="72"/>
      <c r="F54" s="72"/>
      <c r="G54" s="72"/>
      <c r="H54" s="72"/>
      <c r="I54" s="72"/>
      <c r="J54" s="74"/>
      <c r="N54" s="456"/>
      <c r="O54" s="456"/>
    </row>
    <row r="55" s="217" customFormat="1" ht="12.75"/>
    <row r="56" spans="2:10" ht="12.75">
      <c r="B56" s="471" t="s">
        <v>11</v>
      </c>
      <c r="C56" s="468" t="s">
        <v>155</v>
      </c>
      <c r="D56" s="469"/>
      <c r="E56" s="469"/>
      <c r="F56" s="469"/>
      <c r="G56" s="469"/>
      <c r="H56" s="469"/>
      <c r="I56" s="469"/>
      <c r="J56" s="470"/>
    </row>
    <row r="57" spans="2:10" ht="12.75">
      <c r="B57" s="70"/>
      <c r="C57" s="63" t="s">
        <v>156</v>
      </c>
      <c r="D57" s="126">
        <v>0.02</v>
      </c>
      <c r="E57" s="113">
        <f>D57*$J$27</f>
        <v>2277.9630117987153</v>
      </c>
      <c r="F57" s="63"/>
      <c r="G57" s="96"/>
      <c r="H57" s="128" t="s">
        <v>169</v>
      </c>
      <c r="I57" s="148">
        <v>0.015</v>
      </c>
      <c r="J57" s="130" t="s">
        <v>37</v>
      </c>
    </row>
    <row r="58" spans="2:10" ht="12.75">
      <c r="B58" s="70"/>
      <c r="C58" s="63" t="s">
        <v>157</v>
      </c>
      <c r="D58" s="126">
        <v>0.15</v>
      </c>
      <c r="E58" s="113">
        <f>D58*$J$27</f>
        <v>17084.722588490364</v>
      </c>
      <c r="F58" s="63"/>
      <c r="G58" s="63"/>
      <c r="H58" s="128" t="s">
        <v>169</v>
      </c>
      <c r="I58" s="148">
        <v>0.015</v>
      </c>
      <c r="J58" s="130" t="s">
        <v>37</v>
      </c>
    </row>
    <row r="59" spans="2:10" ht="12.75">
      <c r="B59" s="70"/>
      <c r="C59" s="63" t="s">
        <v>158</v>
      </c>
      <c r="D59" s="126"/>
      <c r="E59" s="113"/>
      <c r="F59" s="64"/>
      <c r="G59" s="63"/>
      <c r="H59" s="128"/>
      <c r="I59" s="129"/>
      <c r="J59" s="130"/>
    </row>
    <row r="60" spans="2:10" ht="12.75">
      <c r="B60" s="70"/>
      <c r="C60" s="63" t="s">
        <v>159</v>
      </c>
      <c r="D60" s="143">
        <v>0.12</v>
      </c>
      <c r="E60" s="113">
        <f>D60*J27</f>
        <v>13667.778070792292</v>
      </c>
      <c r="F60" s="63"/>
      <c r="G60" s="83" t="s">
        <v>170</v>
      </c>
      <c r="H60" s="131"/>
      <c r="I60" s="148">
        <v>0.015</v>
      </c>
      <c r="J60" s="130" t="s">
        <v>37</v>
      </c>
    </row>
    <row r="61" spans="2:10" ht="12.75">
      <c r="B61" s="70"/>
      <c r="C61" s="95" t="s">
        <v>160</v>
      </c>
      <c r="D61" s="144">
        <v>0</v>
      </c>
      <c r="E61" s="113">
        <f>D61*E19/6</f>
        <v>0</v>
      </c>
      <c r="F61" s="63"/>
      <c r="G61" s="63"/>
      <c r="H61" s="128" t="s">
        <v>169</v>
      </c>
      <c r="I61" s="129">
        <f>IF(J61="no",0,$D$13)</f>
        <v>0</v>
      </c>
      <c r="J61" s="130" t="s">
        <v>37</v>
      </c>
    </row>
    <row r="62" spans="2:10" ht="12.75">
      <c r="B62" s="70"/>
      <c r="C62" s="95" t="s">
        <v>161</v>
      </c>
      <c r="D62" s="143">
        <v>0.03</v>
      </c>
      <c r="E62" s="113">
        <f>D62*$J$27</f>
        <v>3416.944517698073</v>
      </c>
      <c r="F62" s="63"/>
      <c r="G62" s="63"/>
      <c r="H62" s="128" t="s">
        <v>169</v>
      </c>
      <c r="I62" s="129">
        <f>IF(J62="no",0,$D$13)</f>
        <v>0.025</v>
      </c>
      <c r="J62" s="130" t="s">
        <v>38</v>
      </c>
    </row>
    <row r="63" spans="2:10" ht="12.75">
      <c r="B63" s="70"/>
      <c r="C63" s="95" t="s">
        <v>162</v>
      </c>
      <c r="D63" s="143">
        <v>0.01</v>
      </c>
      <c r="E63" s="113">
        <f>D63*$J$27</f>
        <v>1138.9815058993577</v>
      </c>
      <c r="F63" s="128" t="s">
        <v>171</v>
      </c>
      <c r="G63" s="132"/>
      <c r="H63" s="128" t="s">
        <v>169</v>
      </c>
      <c r="I63" s="129">
        <f>IF(J63="no",0,$D$13)</f>
        <v>0</v>
      </c>
      <c r="J63" s="130" t="s">
        <v>37</v>
      </c>
    </row>
    <row r="64" spans="2:10" ht="12.75">
      <c r="B64" s="70"/>
      <c r="C64" s="95" t="s">
        <v>163</v>
      </c>
      <c r="D64" s="143">
        <v>0.002</v>
      </c>
      <c r="E64" s="95">
        <f>D64*$J$27</f>
        <v>227.79630117987156</v>
      </c>
      <c r="F64" s="96"/>
      <c r="G64" s="63"/>
      <c r="H64" s="128" t="s">
        <v>169</v>
      </c>
      <c r="I64" s="148">
        <v>0.015</v>
      </c>
      <c r="J64" s="130" t="s">
        <v>37</v>
      </c>
    </row>
    <row r="65" spans="2:10" ht="12.75">
      <c r="B65" s="70"/>
      <c r="C65" s="95" t="s">
        <v>164</v>
      </c>
      <c r="D65" s="145"/>
      <c r="E65" s="147">
        <v>1000</v>
      </c>
      <c r="F65" s="63"/>
      <c r="G65" s="63"/>
      <c r="H65" s="128" t="s">
        <v>169</v>
      </c>
      <c r="I65" s="129">
        <f>IF(J65="no",0,$D$13)</f>
        <v>0.025</v>
      </c>
      <c r="J65" s="130" t="s">
        <v>38</v>
      </c>
    </row>
    <row r="66" spans="2:10" ht="12.75">
      <c r="B66" s="70"/>
      <c r="C66" s="95" t="s">
        <v>165</v>
      </c>
      <c r="D66" s="145">
        <v>0</v>
      </c>
      <c r="E66" s="113">
        <f>D66*$J$27</f>
        <v>0</v>
      </c>
      <c r="F66" s="63" t="s">
        <v>25</v>
      </c>
      <c r="G66" s="63"/>
      <c r="H66" s="128" t="s">
        <v>169</v>
      </c>
      <c r="I66" s="129">
        <f>IF(J66="no",0,$D$13)</f>
        <v>0.025</v>
      </c>
      <c r="J66" s="130" t="s">
        <v>38</v>
      </c>
    </row>
    <row r="67" spans="2:10" ht="12.75">
      <c r="B67" s="70"/>
      <c r="C67" s="95" t="s">
        <v>166</v>
      </c>
      <c r="D67" s="145">
        <v>0.25</v>
      </c>
      <c r="E67" s="145">
        <v>0.25</v>
      </c>
      <c r="F67" s="63"/>
      <c r="G67" s="63"/>
      <c r="H67" s="128"/>
      <c r="I67" s="129"/>
      <c r="J67" s="130"/>
    </row>
    <row r="68" spans="2:10" ht="12.75">
      <c r="B68" s="70"/>
      <c r="C68" s="95" t="s">
        <v>167</v>
      </c>
      <c r="D68" s="146">
        <v>0</v>
      </c>
      <c r="E68" s="95">
        <f>D68*E19</f>
        <v>0</v>
      </c>
      <c r="F68" s="63"/>
      <c r="G68" s="63"/>
      <c r="H68" s="128"/>
      <c r="I68" s="129"/>
      <c r="J68" s="130"/>
    </row>
    <row r="69" spans="2:10" ht="12.75">
      <c r="B69" s="70"/>
      <c r="C69" s="95" t="s">
        <v>168</v>
      </c>
      <c r="D69" s="145">
        <v>0.01</v>
      </c>
      <c r="E69" s="95">
        <f>D69*(J27)</f>
        <v>1138.9815058993577</v>
      </c>
      <c r="F69" s="63"/>
      <c r="G69" s="63"/>
      <c r="H69" s="128" t="s">
        <v>169</v>
      </c>
      <c r="I69" s="129">
        <f>IF(J69="no",0,$D$13)</f>
        <v>0</v>
      </c>
      <c r="J69" s="130" t="s">
        <v>37</v>
      </c>
    </row>
    <row r="70" spans="2:10" ht="12.75">
      <c r="B70" s="70"/>
      <c r="C70" s="83" t="s">
        <v>7</v>
      </c>
      <c r="D70" s="91"/>
      <c r="E70" s="92">
        <v>0</v>
      </c>
      <c r="F70" s="63"/>
      <c r="G70" s="63"/>
      <c r="H70" s="128" t="s">
        <v>169</v>
      </c>
      <c r="I70" s="129">
        <f>IF(J70="no",0,$D$13)</f>
        <v>0</v>
      </c>
      <c r="J70" s="130" t="s">
        <v>37</v>
      </c>
    </row>
    <row r="71" spans="2:10" ht="12.75">
      <c r="B71" s="70"/>
      <c r="C71" s="83" t="s">
        <v>7</v>
      </c>
      <c r="D71" s="91"/>
      <c r="E71" s="92">
        <v>0</v>
      </c>
      <c r="F71" s="63"/>
      <c r="G71" s="63"/>
      <c r="H71" s="128" t="s">
        <v>169</v>
      </c>
      <c r="I71" s="129">
        <f>IF(J71="no",0,$D$13)</f>
        <v>0</v>
      </c>
      <c r="J71" s="130" t="s">
        <v>37</v>
      </c>
    </row>
    <row r="72" spans="2:10" ht="12.75">
      <c r="B72" s="70"/>
      <c r="C72" s="83" t="s">
        <v>7</v>
      </c>
      <c r="D72" s="91"/>
      <c r="E72" s="92">
        <v>0</v>
      </c>
      <c r="F72" s="63"/>
      <c r="G72" s="63" t="s">
        <v>6</v>
      </c>
      <c r="H72" s="128" t="s">
        <v>169</v>
      </c>
      <c r="I72" s="129">
        <f>IF(J72="no",0,$D$13)</f>
        <v>0</v>
      </c>
      <c r="J72" s="130" t="s">
        <v>37</v>
      </c>
    </row>
    <row r="73" spans="2:10" ht="12.75">
      <c r="B73" s="71"/>
      <c r="C73" s="133" t="s">
        <v>7</v>
      </c>
      <c r="D73" s="134"/>
      <c r="E73" s="135">
        <v>0</v>
      </c>
      <c r="F73" s="72"/>
      <c r="G73" s="72"/>
      <c r="H73" s="136" t="s">
        <v>169</v>
      </c>
      <c r="I73" s="137">
        <f>IF(J73="no",0,$D$13)</f>
        <v>0</v>
      </c>
      <c r="J73" s="138" t="s">
        <v>37</v>
      </c>
    </row>
    <row r="74" spans="2:10" ht="12.75">
      <c r="B74" s="96"/>
      <c r="C74" s="139" t="s">
        <v>172</v>
      </c>
      <c r="D74" s="114"/>
      <c r="E74" s="140">
        <f>SUM(E57:E73)-E61+D61</f>
        <v>39953.41750175803</v>
      </c>
      <c r="F74" s="114"/>
      <c r="G74" s="141" t="s">
        <v>173</v>
      </c>
      <c r="H74" s="114"/>
      <c r="I74" s="114"/>
      <c r="J74" s="142">
        <f>E74/J27</f>
        <v>0.35078196875734324</v>
      </c>
    </row>
    <row r="75" spans="2:10" ht="12.75">
      <c r="B75" s="464" t="s">
        <v>12</v>
      </c>
      <c r="C75" s="465" t="str">
        <f>IF(C8="Deutsch","Notizen/Besonderheiten","Memo")</f>
        <v>Memo</v>
      </c>
      <c r="D75" s="466"/>
      <c r="E75" s="466"/>
      <c r="F75" s="466"/>
      <c r="G75" s="466"/>
      <c r="H75" s="466"/>
      <c r="I75" s="466"/>
      <c r="J75" s="467"/>
    </row>
    <row r="76" spans="2:10" ht="12.75">
      <c r="B76" s="457"/>
      <c r="C76" s="458"/>
      <c r="D76" s="459"/>
      <c r="E76" s="459"/>
      <c r="F76" s="459"/>
      <c r="G76" s="459"/>
      <c r="H76" s="459"/>
      <c r="I76" s="459"/>
      <c r="J76" s="460"/>
    </row>
    <row r="77" spans="2:10" ht="12.75">
      <c r="B77" s="457"/>
      <c r="C77" s="459"/>
      <c r="D77" s="459"/>
      <c r="E77" s="459"/>
      <c r="F77" s="459"/>
      <c r="G77" s="459"/>
      <c r="H77" s="459"/>
      <c r="I77" s="459"/>
      <c r="J77" s="460"/>
    </row>
    <row r="78" spans="2:10" ht="12.75">
      <c r="B78" s="457"/>
      <c r="C78" s="459"/>
      <c r="D78" s="459"/>
      <c r="E78" s="459"/>
      <c r="F78" s="459"/>
      <c r="G78" s="459"/>
      <c r="H78" s="459"/>
      <c r="I78" s="459"/>
      <c r="J78" s="460"/>
    </row>
    <row r="79" spans="2:10" ht="12.75">
      <c r="B79" s="457"/>
      <c r="C79" s="459"/>
      <c r="D79" s="459"/>
      <c r="E79" s="459"/>
      <c r="F79" s="459"/>
      <c r="G79" s="459"/>
      <c r="H79" s="459"/>
      <c r="I79" s="459"/>
      <c r="J79" s="460"/>
    </row>
    <row r="80" spans="2:10" ht="12.75">
      <c r="B80" s="457"/>
      <c r="C80" s="459"/>
      <c r="D80" s="459"/>
      <c r="E80" s="459"/>
      <c r="F80" s="459"/>
      <c r="G80" s="459"/>
      <c r="H80" s="459"/>
      <c r="I80" s="459"/>
      <c r="J80" s="460"/>
    </row>
    <row r="81" spans="2:10" ht="12.75">
      <c r="B81" s="457"/>
      <c r="C81" s="459"/>
      <c r="D81" s="459"/>
      <c r="E81" s="459"/>
      <c r="F81" s="459"/>
      <c r="G81" s="459"/>
      <c r="H81" s="459"/>
      <c r="I81" s="459"/>
      <c r="J81" s="460"/>
    </row>
    <row r="82" spans="2:10" ht="12.75">
      <c r="B82" s="457"/>
      <c r="C82" s="459"/>
      <c r="D82" s="459"/>
      <c r="E82" s="459"/>
      <c r="F82" s="459"/>
      <c r="G82" s="459"/>
      <c r="H82" s="459"/>
      <c r="I82" s="459"/>
      <c r="J82" s="460"/>
    </row>
    <row r="83" spans="2:10" ht="12.75">
      <c r="B83" s="457"/>
      <c r="C83" s="459"/>
      <c r="D83" s="459"/>
      <c r="E83" s="459"/>
      <c r="F83" s="459"/>
      <c r="G83" s="459"/>
      <c r="H83" s="459"/>
      <c r="I83" s="459"/>
      <c r="J83" s="460"/>
    </row>
    <row r="84" spans="2:10" ht="12.75">
      <c r="B84" s="457"/>
      <c r="C84" s="459"/>
      <c r="D84" s="459"/>
      <c r="E84" s="459"/>
      <c r="F84" s="459"/>
      <c r="G84" s="459"/>
      <c r="H84" s="459"/>
      <c r="I84" s="459"/>
      <c r="J84" s="460"/>
    </row>
    <row r="85" spans="2:10" ht="12.75">
      <c r="B85" s="457"/>
      <c r="C85" s="459"/>
      <c r="D85" s="459"/>
      <c r="E85" s="459"/>
      <c r="F85" s="459"/>
      <c r="G85" s="459"/>
      <c r="H85" s="459"/>
      <c r="I85" s="459"/>
      <c r="J85" s="460"/>
    </row>
    <row r="86" spans="2:10" ht="12.75">
      <c r="B86" s="457"/>
      <c r="C86" s="459"/>
      <c r="D86" s="459"/>
      <c r="E86" s="459"/>
      <c r="F86" s="459"/>
      <c r="G86" s="459"/>
      <c r="H86" s="459"/>
      <c r="I86" s="459"/>
      <c r="J86" s="460"/>
    </row>
    <row r="87" spans="2:10" ht="12.75">
      <c r="B87" s="457"/>
      <c r="C87" s="459"/>
      <c r="D87" s="459"/>
      <c r="E87" s="459"/>
      <c r="F87" s="459"/>
      <c r="G87" s="459"/>
      <c r="H87" s="459"/>
      <c r="I87" s="459"/>
      <c r="J87" s="460"/>
    </row>
    <row r="88" spans="2:10" ht="12.75">
      <c r="B88" s="457"/>
      <c r="C88" s="459"/>
      <c r="D88" s="459"/>
      <c r="E88" s="459"/>
      <c r="F88" s="459"/>
      <c r="G88" s="459"/>
      <c r="H88" s="459"/>
      <c r="I88" s="459"/>
      <c r="J88" s="460"/>
    </row>
    <row r="89" spans="2:10" ht="12.75">
      <c r="B89" s="461"/>
      <c r="C89" s="462"/>
      <c r="D89" s="462"/>
      <c r="E89" s="462"/>
      <c r="F89" s="462"/>
      <c r="G89" s="462"/>
      <c r="H89" s="462"/>
      <c r="I89" s="462"/>
      <c r="J89" s="463"/>
    </row>
    <row r="90" s="453" customFormat="1" ht="12.75">
      <c r="C90" s="453" t="e">
        <f ca="1">CELL("Dateiname")</f>
        <v>#VALUE!</v>
      </c>
    </row>
    <row r="91" s="453" customFormat="1" ht="12.75"/>
    <row r="92" s="453" customFormat="1" ht="12.75"/>
    <row r="93" s="453" customFormat="1" ht="12.75"/>
    <row r="94" s="453" customFormat="1" ht="12.75"/>
    <row r="95" s="453" customFormat="1" ht="12.75"/>
    <row r="96" s="453" customFormat="1" ht="12.75"/>
    <row r="97" s="453" customFormat="1" ht="12.75"/>
    <row r="98" s="453" customFormat="1" ht="12.75"/>
    <row r="99" s="453" customFormat="1" ht="12.75"/>
    <row r="100" s="453" customFormat="1" ht="12.75"/>
    <row r="101" s="453" customFormat="1" ht="12.75"/>
    <row r="102" s="453" customFormat="1" ht="12.75"/>
    <row r="103" s="453" customFormat="1" ht="12.75"/>
    <row r="104" s="453" customFormat="1" ht="12.75"/>
    <row r="105" s="453" customFormat="1" ht="12.75"/>
    <row r="106" s="453" customFormat="1" ht="12.75"/>
    <row r="107" s="453" customFormat="1" ht="12.75"/>
    <row r="108" s="453" customFormat="1" ht="12.75"/>
    <row r="109" s="453" customFormat="1" ht="12.75"/>
    <row r="110" s="453" customFormat="1" ht="12.75"/>
    <row r="111" s="453" customFormat="1" ht="12.75"/>
    <row r="112" s="453" customFormat="1" ht="12.75"/>
    <row r="113" s="453" customFormat="1" ht="12.75"/>
    <row r="114" s="453" customFormat="1" ht="12.75"/>
    <row r="115" s="453" customFormat="1" ht="12.75"/>
    <row r="116" s="453" customFormat="1" ht="12.75"/>
    <row r="117" s="453" customFormat="1" ht="12.75"/>
    <row r="118" s="453" customFormat="1" ht="12.75"/>
    <row r="119" s="453" customFormat="1" ht="12.75"/>
    <row r="120" s="453" customFormat="1" ht="12.75"/>
    <row r="121" s="453" customFormat="1" ht="12.75"/>
    <row r="122" s="453" customFormat="1" ht="12.75"/>
    <row r="123" s="453" customFormat="1" ht="12.75"/>
    <row r="124" s="453" customFormat="1" ht="12.75"/>
    <row r="125" s="453" customFormat="1" ht="12.75"/>
    <row r="126" s="453" customFormat="1" ht="12.75"/>
    <row r="127" s="453" customFormat="1" ht="12.75"/>
    <row r="128" s="453" customFormat="1" ht="12.75"/>
    <row r="129" s="453" customFormat="1" ht="12.75"/>
    <row r="130" s="453" customFormat="1" ht="12.75"/>
  </sheetData>
  <sheetProtection/>
  <mergeCells count="3">
    <mergeCell ref="I7:J7"/>
    <mergeCell ref="I8:J8"/>
    <mergeCell ref="E4:G4"/>
  </mergeCells>
  <dataValidations count="3">
    <dataValidation errorStyle="warning" allowBlank="1" showInputMessage="1" showErrorMessage="1" errorTitle="Sparte" error="Bitte aus der Liste eine gültige Sparte auswählen!" sqref="F6:F7"/>
    <dataValidation type="date" operator="greaterThan" allowBlank="1" showInputMessage="1" showErrorMessage="1" sqref="J4">
      <formula1>36892</formula1>
    </dataValidation>
    <dataValidation type="list" allowBlank="1" showInputMessage="1" showErrorMessage="1" sqref="C8">
      <formula1>$M$5:$M$6</formula1>
    </dataValidation>
  </dataValidations>
  <printOptions/>
  <pageMargins left="0.19" right="0.15" top="0.41" bottom="0.6" header="0.22" footer="0.51"/>
  <pageSetup fitToHeight="1" fitToWidth="1" horizontalDpi="300" verticalDpi="300" orientation="portrait" paperSize="9" scale="63" r:id="rId3"/>
  <headerFooter alignWithMargins="0">
    <oddHeader>&amp;C&amp;F</oddHeader>
  </headerFooter>
  <legacyDrawing r:id="rId2"/>
</worksheet>
</file>

<file path=xl/worksheets/sheet3.xml><?xml version="1.0" encoding="utf-8"?>
<worksheet xmlns="http://schemas.openxmlformats.org/spreadsheetml/2006/main" xmlns:r="http://schemas.openxmlformats.org/officeDocument/2006/relationships">
  <sheetPr codeName="Tabelle2">
    <pageSetUpPr fitToPage="1"/>
  </sheetPr>
  <dimension ref="A2:BZ112"/>
  <sheetViews>
    <sheetView zoomScale="80" zoomScaleNormal="80" zoomScaleSheetLayoutView="75" zoomScalePageLayoutView="0" workbookViewId="0" topLeftCell="A1">
      <pane xSplit="5" ySplit="13" topLeftCell="U26" activePane="bottomRight" state="frozen"/>
      <selection pane="topLeft" activeCell="A1" sqref="A1"/>
      <selection pane="topRight" activeCell="F1" sqref="F1"/>
      <selection pane="bottomLeft" activeCell="A14" sqref="A14"/>
      <selection pane="bottomRight" activeCell="AH19" sqref="AH19"/>
    </sheetView>
  </sheetViews>
  <sheetFormatPr defaultColWidth="11.421875" defaultRowHeight="12.75"/>
  <cols>
    <col min="1" max="1" width="2.421875" style="159" customWidth="1"/>
    <col min="2" max="2" width="6.57421875" style="159" customWidth="1"/>
    <col min="3" max="3" width="4.7109375" style="0" customWidth="1"/>
    <col min="4" max="4" width="14.00390625" style="0" customWidth="1"/>
    <col min="5" max="5" width="23.28125" style="0" customWidth="1"/>
    <col min="6" max="6" width="23.28125" style="0" hidden="1" customWidth="1"/>
    <col min="7" max="7" width="21.8515625" style="0" bestFit="1" customWidth="1"/>
    <col min="8" max="17" width="16.00390625" style="0" bestFit="1" customWidth="1"/>
    <col min="18" max="18" width="14.7109375" style="0" customWidth="1"/>
    <col min="19" max="20" width="16.00390625" style="0" bestFit="1" customWidth="1"/>
    <col min="21" max="21" width="14.7109375" style="0" customWidth="1"/>
    <col min="22" max="25" width="16.00390625" style="0" bestFit="1" customWidth="1"/>
    <col min="26" max="31" width="14.7109375" style="0" customWidth="1"/>
    <col min="32" max="32" width="14.57421875" style="0" customWidth="1"/>
    <col min="33" max="33" width="15.00390625" style="0" customWidth="1"/>
    <col min="34" max="35" width="10.8515625" style="161" customWidth="1"/>
    <col min="36" max="36" width="12.421875" style="161" bestFit="1" customWidth="1"/>
    <col min="37" max="78" width="10.8515625" style="161" customWidth="1"/>
  </cols>
  <sheetData>
    <row r="1" s="161" customFormat="1" ht="12.75"/>
    <row r="2" spans="2:31" s="161" customFormat="1" ht="12.75">
      <c r="B2" s="161" t="s">
        <v>3</v>
      </c>
      <c r="D2" s="162">
        <v>1</v>
      </c>
      <c r="E2" s="163"/>
      <c r="F2" s="163"/>
      <c r="G2" s="164"/>
      <c r="H2" s="164"/>
      <c r="I2" s="164"/>
      <c r="J2" s="164" t="s">
        <v>40</v>
      </c>
      <c r="L2" s="164">
        <f>ek*result!D2</f>
        <v>853760</v>
      </c>
      <c r="M2" s="164"/>
      <c r="N2" s="164"/>
      <c r="O2" s="164"/>
      <c r="P2" s="165"/>
      <c r="Q2" s="164"/>
      <c r="R2" s="165"/>
      <c r="S2" s="164"/>
      <c r="T2" s="165"/>
      <c r="U2" s="164"/>
      <c r="V2" s="164"/>
      <c r="W2" s="164"/>
      <c r="X2" s="164"/>
      <c r="Y2" s="164"/>
      <c r="Z2" s="164"/>
      <c r="AA2" s="164"/>
      <c r="AB2" s="164"/>
      <c r="AC2" s="164"/>
      <c r="AD2" s="164"/>
      <c r="AE2" s="164"/>
    </row>
    <row r="3" spans="2:13" s="161" customFormat="1" ht="12.75">
      <c r="B3" s="166" t="s">
        <v>3</v>
      </c>
      <c r="D3" s="167"/>
      <c r="E3" s="167"/>
      <c r="F3" s="167"/>
      <c r="G3" s="167"/>
      <c r="J3" s="161" t="s">
        <v>39</v>
      </c>
      <c r="L3" s="164">
        <f>input!J52*D2</f>
        <v>0</v>
      </c>
      <c r="M3" s="161" t="s">
        <v>73</v>
      </c>
    </row>
    <row r="4" spans="2:7" s="161" customFormat="1" ht="12.75">
      <c r="B4" s="166"/>
      <c r="C4" s="161" t="str">
        <f>IF(E5="Deutsch","Darstellung in","Currency:")</f>
        <v>Currency:</v>
      </c>
      <c r="E4" s="161" t="s">
        <v>14</v>
      </c>
      <c r="G4" s="167"/>
    </row>
    <row r="5" spans="1:25" s="161" customFormat="1" ht="12.75">
      <c r="A5" s="161" t="s">
        <v>3</v>
      </c>
      <c r="B5" s="166"/>
      <c r="C5" s="167" t="s">
        <v>15</v>
      </c>
      <c r="E5" s="161">
        <f>input!C8</f>
        <v>0</v>
      </c>
      <c r="G5" s="167"/>
      <c r="I5" s="165"/>
      <c r="J5" s="165"/>
      <c r="K5" s="165"/>
      <c r="L5" s="165"/>
      <c r="M5" s="165"/>
      <c r="N5" s="165"/>
      <c r="O5" s="165"/>
      <c r="P5" s="165"/>
      <c r="Q5" s="165"/>
      <c r="R5" s="165"/>
      <c r="S5" s="165"/>
      <c r="T5" s="165"/>
      <c r="U5" s="165"/>
      <c r="V5" s="165"/>
      <c r="W5" s="165"/>
      <c r="X5" s="165"/>
      <c r="Y5" s="165"/>
    </row>
    <row r="6" spans="2:25" s="161" customFormat="1" ht="12.75">
      <c r="B6" s="166"/>
      <c r="C6" s="167"/>
      <c r="F6" s="164"/>
      <c r="I6" s="165"/>
      <c r="J6" s="165"/>
      <c r="K6" s="165"/>
      <c r="L6" s="165"/>
      <c r="M6" s="165"/>
      <c r="N6" s="165"/>
      <c r="O6" s="165"/>
      <c r="P6" s="165"/>
      <c r="Q6" s="165"/>
      <c r="R6" s="165"/>
      <c r="S6" s="165"/>
      <c r="T6" s="165"/>
      <c r="U6" s="165"/>
      <c r="V6" s="165"/>
      <c r="W6" s="165"/>
      <c r="X6" s="165"/>
      <c r="Y6" s="165"/>
    </row>
    <row r="7" spans="2:78" s="159" customFormat="1" ht="33.75" customHeight="1" thickBot="1">
      <c r="B7" s="168"/>
      <c r="C7" s="160"/>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row>
    <row r="8" spans="2:52" ht="18">
      <c r="B8" s="168"/>
      <c r="C8" s="9" t="s">
        <v>176</v>
      </c>
      <c r="D8" s="210"/>
      <c r="E8" s="211"/>
      <c r="F8" s="211"/>
      <c r="G8" s="211"/>
      <c r="H8" s="211"/>
      <c r="I8" s="212"/>
      <c r="J8" s="213"/>
      <c r="K8" s="210"/>
      <c r="L8" s="210"/>
      <c r="M8" s="210"/>
      <c r="N8" s="210"/>
      <c r="O8" s="210"/>
      <c r="P8" s="214"/>
      <c r="Q8" s="210"/>
      <c r="R8" s="210"/>
      <c r="S8" s="210"/>
      <c r="T8" s="210"/>
      <c r="U8" s="215"/>
      <c r="V8" s="210"/>
      <c r="W8" s="210"/>
      <c r="X8" s="210"/>
      <c r="Y8" s="210"/>
      <c r="Z8" s="211" t="str">
        <f>IF(E5="Deutsch","Version vom","version")</f>
        <v>version</v>
      </c>
      <c r="AA8" s="211"/>
      <c r="AB8" s="211"/>
      <c r="AC8" s="211"/>
      <c r="AD8" s="211"/>
      <c r="AE8" s="211"/>
      <c r="AF8" s="211"/>
      <c r="AG8" s="216">
        <f>input!J4</f>
        <v>0</v>
      </c>
      <c r="AH8" s="167"/>
      <c r="AI8" s="167"/>
      <c r="AJ8" s="167"/>
      <c r="AK8" s="167"/>
      <c r="AL8" s="167"/>
      <c r="AM8" s="167"/>
      <c r="AN8" s="167"/>
      <c r="AO8" s="167"/>
      <c r="AP8" s="167"/>
      <c r="AQ8" s="167"/>
      <c r="AR8" s="167"/>
      <c r="AS8" s="167"/>
      <c r="AT8" s="167"/>
      <c r="AU8" s="167"/>
      <c r="AV8" s="167"/>
      <c r="AW8" s="167"/>
      <c r="AX8" s="167"/>
      <c r="AY8" s="167"/>
      <c r="AZ8" s="167"/>
    </row>
    <row r="9" spans="2:52" ht="15.75">
      <c r="B9" s="168"/>
      <c r="C9" s="10" t="s">
        <v>177</v>
      </c>
      <c r="D9" s="217"/>
      <c r="E9" s="218" t="str">
        <f>input!F5</f>
        <v>VIPSKILLS</v>
      </c>
      <c r="F9" s="218"/>
      <c r="G9" s="219"/>
      <c r="H9" s="219"/>
      <c r="I9" s="219"/>
      <c r="J9" s="219"/>
      <c r="K9" s="219"/>
      <c r="L9" s="219"/>
      <c r="M9" s="147"/>
      <c r="N9" s="147"/>
      <c r="O9" s="147"/>
      <c r="P9" s="217"/>
      <c r="Q9" s="147"/>
      <c r="R9" s="147"/>
      <c r="S9" s="147"/>
      <c r="T9" s="147"/>
      <c r="U9" s="217"/>
      <c r="V9" s="147"/>
      <c r="W9" s="147"/>
      <c r="X9" s="147"/>
      <c r="Y9" s="147"/>
      <c r="Z9" s="219" t="str">
        <f>IF(E5="Deutsch","Bearbeitet von","changed by")</f>
        <v>changed by</v>
      </c>
      <c r="AA9" s="219"/>
      <c r="AB9" s="219"/>
      <c r="AC9" s="219"/>
      <c r="AD9" s="219"/>
      <c r="AE9" s="219"/>
      <c r="AF9" s="219"/>
      <c r="AG9" s="220">
        <f>input!J5</f>
        <v>0</v>
      </c>
      <c r="AH9" s="167"/>
      <c r="AI9" s="167"/>
      <c r="AJ9" s="167"/>
      <c r="AK9" s="167"/>
      <c r="AL9" s="167"/>
      <c r="AM9" s="167"/>
      <c r="AN9" s="167"/>
      <c r="AO9" s="167"/>
      <c r="AP9" s="167"/>
      <c r="AQ9" s="167"/>
      <c r="AR9" s="167"/>
      <c r="AS9" s="167"/>
      <c r="AT9" s="167"/>
      <c r="AU9" s="167"/>
      <c r="AV9" s="167"/>
      <c r="AW9" s="167"/>
      <c r="AX9" s="167"/>
      <c r="AY9" s="167"/>
      <c r="AZ9" s="167"/>
    </row>
    <row r="10" spans="2:52" ht="15.75">
      <c r="B10" s="168"/>
      <c r="C10" s="10" t="s">
        <v>108</v>
      </c>
      <c r="D10" s="217"/>
      <c r="E10" s="218" t="str">
        <f>input!F6</f>
        <v>POLAND</v>
      </c>
      <c r="F10" s="218"/>
      <c r="G10" s="219"/>
      <c r="H10" s="219"/>
      <c r="I10" s="219"/>
      <c r="J10" s="219"/>
      <c r="K10" s="219"/>
      <c r="L10" s="219"/>
      <c r="M10" s="147"/>
      <c r="N10" s="147"/>
      <c r="O10" s="147"/>
      <c r="P10" s="217"/>
      <c r="Q10" s="147"/>
      <c r="R10" s="147"/>
      <c r="S10" s="147"/>
      <c r="T10" s="147"/>
      <c r="U10" s="147"/>
      <c r="V10" s="147"/>
      <c r="W10" s="147"/>
      <c r="X10" s="147"/>
      <c r="Y10" s="147"/>
      <c r="Z10" s="147"/>
      <c r="AA10" s="147"/>
      <c r="AB10" s="147"/>
      <c r="AC10" s="147"/>
      <c r="AD10" s="147"/>
      <c r="AE10" s="147"/>
      <c r="AF10" s="221" t="str">
        <f>IF(E5="Deutsch","V E R T R A U L I C H !","C O N F I D E N T I A L !")</f>
        <v>C O N F I D E N T I A L !</v>
      </c>
      <c r="AG10" s="222"/>
      <c r="AH10" s="167"/>
      <c r="AI10" s="167"/>
      <c r="AJ10" s="167"/>
      <c r="AK10" s="167"/>
      <c r="AL10" s="167"/>
      <c r="AM10" s="167"/>
      <c r="AN10" s="167"/>
      <c r="AO10" s="167"/>
      <c r="AP10" s="167"/>
      <c r="AQ10" s="167"/>
      <c r="AR10" s="167"/>
      <c r="AS10" s="167"/>
      <c r="AT10" s="167"/>
      <c r="AU10" s="167"/>
      <c r="AV10" s="167"/>
      <c r="AW10" s="167"/>
      <c r="AX10" s="167"/>
      <c r="AY10" s="167"/>
      <c r="AZ10" s="167"/>
    </row>
    <row r="11" spans="2:52" ht="16.5" thickBot="1">
      <c r="B11" s="168"/>
      <c r="C11" s="10" t="s">
        <v>178</v>
      </c>
      <c r="D11" s="217"/>
      <c r="E11" s="218" t="str">
        <f>input!F7</f>
        <v>FV</v>
      </c>
      <c r="F11" s="218"/>
      <c r="G11" s="223" t="s">
        <v>175</v>
      </c>
      <c r="H11" s="219"/>
      <c r="I11" s="147"/>
      <c r="J11" s="147"/>
      <c r="K11" s="147"/>
      <c r="L11" s="147"/>
      <c r="M11" s="147"/>
      <c r="N11" s="147"/>
      <c r="O11" s="147"/>
      <c r="P11" s="224"/>
      <c r="Q11" s="147"/>
      <c r="R11" s="147"/>
      <c r="S11" s="147"/>
      <c r="T11" s="147"/>
      <c r="U11" s="147"/>
      <c r="V11" s="147"/>
      <c r="W11" s="147"/>
      <c r="X11" s="147"/>
      <c r="Y11" s="147"/>
      <c r="Z11" s="147"/>
      <c r="AA11" s="147"/>
      <c r="AB11" s="147"/>
      <c r="AC11" s="147"/>
      <c r="AD11" s="147"/>
      <c r="AE11" s="147"/>
      <c r="AF11" s="225" t="str">
        <f>IF(E5="Deutsch","Seite 2 von 2","Page 2 of 2")</f>
        <v>Page 2 of 2</v>
      </c>
      <c r="AG11" s="226"/>
      <c r="AH11" s="167"/>
      <c r="AI11" s="167"/>
      <c r="AJ11" s="167"/>
      <c r="AK11" s="167"/>
      <c r="AL11" s="167"/>
      <c r="AM11" s="167"/>
      <c r="AN11" s="167"/>
      <c r="AO11" s="167"/>
      <c r="AP11" s="167"/>
      <c r="AQ11" s="167"/>
      <c r="AR11" s="167"/>
      <c r="AS11" s="167"/>
      <c r="AT11" s="167"/>
      <c r="AU11" s="167"/>
      <c r="AV11" s="167"/>
      <c r="AW11" s="167"/>
      <c r="AX11" s="167"/>
      <c r="AY11" s="167"/>
      <c r="AZ11" s="167"/>
    </row>
    <row r="12" spans="2:52" ht="15.75">
      <c r="B12" s="168"/>
      <c r="C12" s="192"/>
      <c r="D12" s="193"/>
      <c r="E12" s="194"/>
      <c r="F12" s="194">
        <f>input!F8</f>
        <v>2017</v>
      </c>
      <c r="G12" s="195">
        <f>F12+1</f>
        <v>2018</v>
      </c>
      <c r="H12" s="196">
        <f aca="true" t="shared" si="0" ref="H12:Z12">G12+1</f>
        <v>2019</v>
      </c>
      <c r="I12" s="196">
        <f t="shared" si="0"/>
        <v>2020</v>
      </c>
      <c r="J12" s="196">
        <f t="shared" si="0"/>
        <v>2021</v>
      </c>
      <c r="K12" s="196">
        <f t="shared" si="0"/>
        <v>2022</v>
      </c>
      <c r="L12" s="196">
        <f t="shared" si="0"/>
        <v>2023</v>
      </c>
      <c r="M12" s="196">
        <f t="shared" si="0"/>
        <v>2024</v>
      </c>
      <c r="N12" s="196">
        <f t="shared" si="0"/>
        <v>2025</v>
      </c>
      <c r="O12" s="196">
        <f t="shared" si="0"/>
        <v>2026</v>
      </c>
      <c r="P12" s="196">
        <f t="shared" si="0"/>
        <v>2027</v>
      </c>
      <c r="Q12" s="196">
        <f t="shared" si="0"/>
        <v>2028</v>
      </c>
      <c r="R12" s="196">
        <f t="shared" si="0"/>
        <v>2029</v>
      </c>
      <c r="S12" s="196">
        <f t="shared" si="0"/>
        <v>2030</v>
      </c>
      <c r="T12" s="196">
        <f t="shared" si="0"/>
        <v>2031</v>
      </c>
      <c r="U12" s="196">
        <f t="shared" si="0"/>
        <v>2032</v>
      </c>
      <c r="V12" s="196">
        <f t="shared" si="0"/>
        <v>2033</v>
      </c>
      <c r="W12" s="196">
        <f t="shared" si="0"/>
        <v>2034</v>
      </c>
      <c r="X12" s="196">
        <f t="shared" si="0"/>
        <v>2035</v>
      </c>
      <c r="Y12" s="196">
        <f t="shared" si="0"/>
        <v>2036</v>
      </c>
      <c r="Z12" s="197">
        <f t="shared" si="0"/>
        <v>2037</v>
      </c>
      <c r="AA12" s="196">
        <f aca="true" t="shared" si="1" ref="AA12:AE13">Z12+1</f>
        <v>2038</v>
      </c>
      <c r="AB12" s="196">
        <f t="shared" si="1"/>
        <v>2039</v>
      </c>
      <c r="AC12" s="196">
        <f t="shared" si="1"/>
        <v>2040</v>
      </c>
      <c r="AD12" s="196">
        <f t="shared" si="1"/>
        <v>2041</v>
      </c>
      <c r="AE12" s="196">
        <f t="shared" si="1"/>
        <v>2042</v>
      </c>
      <c r="AF12" s="198"/>
      <c r="AG12" s="199"/>
      <c r="AH12" s="167"/>
      <c r="AI12" s="167"/>
      <c r="AJ12" s="167"/>
      <c r="AK12" s="167"/>
      <c r="AL12" s="167"/>
      <c r="AM12" s="167"/>
      <c r="AN12" s="167"/>
      <c r="AO12" s="167"/>
      <c r="AP12" s="167"/>
      <c r="AQ12" s="167"/>
      <c r="AR12" s="167"/>
      <c r="AS12" s="167"/>
      <c r="AT12" s="167"/>
      <c r="AU12" s="167"/>
      <c r="AV12" s="167"/>
      <c r="AW12" s="167"/>
      <c r="AX12" s="167"/>
      <c r="AY12" s="167"/>
      <c r="AZ12" s="167"/>
    </row>
    <row r="13" spans="2:52" ht="13.5" customHeight="1">
      <c r="B13" s="168"/>
      <c r="C13" s="200" t="s">
        <v>174</v>
      </c>
      <c r="D13" s="201"/>
      <c r="E13" s="201"/>
      <c r="F13" s="201">
        <f>G13-1</f>
        <v>0</v>
      </c>
      <c r="G13" s="202">
        <v>1</v>
      </c>
      <c r="H13" s="202">
        <f aca="true" t="shared" si="2" ref="H13:Z13">G13+1</f>
        <v>2</v>
      </c>
      <c r="I13" s="202">
        <f t="shared" si="2"/>
        <v>3</v>
      </c>
      <c r="J13" s="202">
        <f t="shared" si="2"/>
        <v>4</v>
      </c>
      <c r="K13" s="202">
        <f t="shared" si="2"/>
        <v>5</v>
      </c>
      <c r="L13" s="202">
        <f t="shared" si="2"/>
        <v>6</v>
      </c>
      <c r="M13" s="202">
        <f t="shared" si="2"/>
        <v>7</v>
      </c>
      <c r="N13" s="202">
        <f t="shared" si="2"/>
        <v>8</v>
      </c>
      <c r="O13" s="202">
        <f t="shared" si="2"/>
        <v>9</v>
      </c>
      <c r="P13" s="202">
        <f t="shared" si="2"/>
        <v>10</v>
      </c>
      <c r="Q13" s="202">
        <f t="shared" si="2"/>
        <v>11</v>
      </c>
      <c r="R13" s="202">
        <f t="shared" si="2"/>
        <v>12</v>
      </c>
      <c r="S13" s="202">
        <f t="shared" si="2"/>
        <v>13</v>
      </c>
      <c r="T13" s="202">
        <f t="shared" si="2"/>
        <v>14</v>
      </c>
      <c r="U13" s="202">
        <f t="shared" si="2"/>
        <v>15</v>
      </c>
      <c r="V13" s="202">
        <f t="shared" si="2"/>
        <v>16</v>
      </c>
      <c r="W13" s="202">
        <f t="shared" si="2"/>
        <v>17</v>
      </c>
      <c r="X13" s="202">
        <f t="shared" si="2"/>
        <v>18</v>
      </c>
      <c r="Y13" s="202">
        <f t="shared" si="2"/>
        <v>19</v>
      </c>
      <c r="Z13" s="203">
        <f t="shared" si="2"/>
        <v>20</v>
      </c>
      <c r="AA13" s="202">
        <f t="shared" si="1"/>
        <v>21</v>
      </c>
      <c r="AB13" s="202">
        <f t="shared" si="1"/>
        <v>22</v>
      </c>
      <c r="AC13" s="202">
        <f t="shared" si="1"/>
        <v>23</v>
      </c>
      <c r="AD13" s="202">
        <f t="shared" si="1"/>
        <v>24</v>
      </c>
      <c r="AE13" s="202">
        <f t="shared" si="1"/>
        <v>25</v>
      </c>
      <c r="AF13" s="202"/>
      <c r="AG13" s="204" t="str">
        <f>IF(E5="Deutsch","Gesamt","Total")</f>
        <v>Total</v>
      </c>
      <c r="AH13" s="167"/>
      <c r="AI13" s="167"/>
      <c r="AJ13" s="167"/>
      <c r="AK13" s="167"/>
      <c r="AL13" s="167"/>
      <c r="AM13" s="167"/>
      <c r="AN13" s="167"/>
      <c r="AO13" s="167"/>
      <c r="AP13" s="167"/>
      <c r="AQ13" s="167"/>
      <c r="AR13" s="167"/>
      <c r="AS13" s="167"/>
      <c r="AT13" s="167"/>
      <c r="AU13" s="167"/>
      <c r="AV13" s="167"/>
      <c r="AW13" s="167"/>
      <c r="AX13" s="167"/>
      <c r="AY13" s="167"/>
      <c r="AZ13" s="167"/>
    </row>
    <row r="14" spans="2:52" ht="13.5" thickBot="1">
      <c r="B14" s="168"/>
      <c r="C14" s="154" t="s">
        <v>179</v>
      </c>
      <c r="D14" s="294"/>
      <c r="E14" s="266"/>
      <c r="F14" s="266" t="s">
        <v>71</v>
      </c>
      <c r="G14" s="305">
        <f>input!$E$28*(1+input!$J$28)*input!$J$25</f>
        <v>0.3248</v>
      </c>
      <c r="H14" s="305">
        <f>input!$E$28*(1+input!$J$28)^G13*input!$J$25</f>
        <v>0.3248</v>
      </c>
      <c r="I14" s="305">
        <f>input!$E$28*(1+input!$J$28)^H13*input!$J$25</f>
        <v>0.3296719999999999</v>
      </c>
      <c r="J14" s="305">
        <f>input!$E$28*(1+input!$J$28)^I13*input!$J$25</f>
        <v>0.3346170799999999</v>
      </c>
      <c r="K14" s="305">
        <f>input!$E$28*(1+input!$J$28)^J13*input!$J$25</f>
        <v>0.33963633619999983</v>
      </c>
      <c r="L14" s="305">
        <f>input!$E$28*(1+input!$J$28)^K13*input!$J$25</f>
        <v>0.3447308812429998</v>
      </c>
      <c r="M14" s="305">
        <f>input!$E$28*(1+input!$J$28)^L13*input!$J$25</f>
        <v>0.3499018444616447</v>
      </c>
      <c r="N14" s="305">
        <f>input!$E$28*(1+input!$J$28)^M13*input!$J$25</f>
        <v>0.3551503721285693</v>
      </c>
      <c r="O14" s="305">
        <f>input!$E$28*(1+input!$J$28)^N13*input!$J$25</f>
        <v>0.36047762771049785</v>
      </c>
      <c r="P14" s="305">
        <f>input!$E$28*(1+input!$J$28)^O13*input!$J$25</f>
        <v>0.36588479212615527</v>
      </c>
      <c r="Q14" s="306">
        <f>input!$E$28*(1+input!$J$28)^P13*input!$J$25</f>
        <v>0.37137306400804754</v>
      </c>
      <c r="R14" s="306">
        <f>input!$E$28*(1+input!$J$28)^Q13*input!$J$25</f>
        <v>0.3769436599681682</v>
      </c>
      <c r="S14" s="306">
        <f>input!$E$28*(1+input!$J$28)^R13*input!$J$25</f>
        <v>0.3825978148676907</v>
      </c>
      <c r="T14" s="306">
        <f>input!$E$28*(1+input!$J$28)^S13*input!$J$25</f>
        <v>0.388336782090706</v>
      </c>
      <c r="U14" s="306">
        <f>input!$E$28*(1+input!$J$28)^T13*input!$J$25</f>
        <v>0.3941618338220665</v>
      </c>
      <c r="V14" s="306">
        <f>input!$E$28*(1+input!$J$28)^U13*input!$J$25</f>
        <v>0.40007426132939744</v>
      </c>
      <c r="W14" s="306">
        <f>input!$E$28*(1+input!$J$28)^V13*input!$J$25</f>
        <v>0.40607537524933834</v>
      </c>
      <c r="X14" s="306">
        <f>input!$E$28*(1+input!$J$28)^W13*input!$J$25</f>
        <v>0.41216650587807835</v>
      </c>
      <c r="Y14" s="306">
        <f>input!$E$28*(1+input!$J$28)^X13*input!$J$25</f>
        <v>0.4183490034662495</v>
      </c>
      <c r="Z14" s="306">
        <f>input!$E$28*(1+input!$J$28)^Y13*input!$J$25</f>
        <v>0.4246242385182432</v>
      </c>
      <c r="AA14" s="306">
        <f>input!$E$28*(1+input!$J$28)^Z13*input!$J$25</f>
        <v>0.4309936020960167</v>
      </c>
      <c r="AB14" s="306">
        <f>input!$E$28*(1+input!$J$28)^AA13*input!$J$25</f>
        <v>0.4374585061274569</v>
      </c>
      <c r="AC14" s="306">
        <f>input!$E$28*(1+input!$J$28)^AB13*input!$J$25</f>
        <v>0.4440203837193687</v>
      </c>
      <c r="AD14" s="306">
        <f>input!$E$28*(1+input!$J$28)^AC13*input!$J$25</f>
        <v>0.4506806894751592</v>
      </c>
      <c r="AE14" s="306">
        <f>input!$E$28*(1+input!$J$28)^AD13*input!$J$25</f>
        <v>0.45744089981728653</v>
      </c>
      <c r="AF14" s="219"/>
      <c r="AG14" s="229"/>
      <c r="AH14" s="167"/>
      <c r="AI14" s="167"/>
      <c r="AJ14" s="167"/>
      <c r="AK14" s="167"/>
      <c r="AL14" s="167"/>
      <c r="AM14" s="167"/>
      <c r="AN14" s="167"/>
      <c r="AO14" s="167"/>
      <c r="AP14" s="167"/>
      <c r="AQ14" s="167"/>
      <c r="AR14" s="167"/>
      <c r="AS14" s="167"/>
      <c r="AT14" s="167"/>
      <c r="AU14" s="167"/>
      <c r="AV14" s="167"/>
      <c r="AW14" s="167"/>
      <c r="AX14" s="167"/>
      <c r="AY14" s="167"/>
      <c r="AZ14" s="167"/>
    </row>
    <row r="15" spans="2:52" ht="12.75">
      <c r="B15" s="168"/>
      <c r="C15" s="300"/>
      <c r="D15" s="211"/>
      <c r="E15" s="210"/>
      <c r="F15" s="210"/>
      <c r="G15" s="301"/>
      <c r="H15" s="301"/>
      <c r="I15" s="301"/>
      <c r="J15" s="301"/>
      <c r="K15" s="301"/>
      <c r="L15" s="301"/>
      <c r="M15" s="301"/>
      <c r="N15" s="301"/>
      <c r="O15" s="301"/>
      <c r="P15" s="301"/>
      <c r="Q15" s="301"/>
      <c r="R15" s="301"/>
      <c r="S15" s="301"/>
      <c r="T15" s="301"/>
      <c r="U15" s="301"/>
      <c r="V15" s="301"/>
      <c r="W15" s="301"/>
      <c r="X15" s="301"/>
      <c r="Y15" s="301"/>
      <c r="Z15" s="302"/>
      <c r="AA15" s="301"/>
      <c r="AB15" s="301"/>
      <c r="AC15" s="301"/>
      <c r="AD15" s="301"/>
      <c r="AE15" s="301"/>
      <c r="AF15" s="211"/>
      <c r="AG15" s="228"/>
      <c r="AH15" s="167"/>
      <c r="AI15" s="167"/>
      <c r="AJ15" s="167"/>
      <c r="AK15" s="167"/>
      <c r="AL15" s="167"/>
      <c r="AM15" s="167"/>
      <c r="AN15" s="167"/>
      <c r="AO15" s="167"/>
      <c r="AP15" s="167"/>
      <c r="AQ15" s="167"/>
      <c r="AR15" s="167"/>
      <c r="AS15" s="167"/>
      <c r="AT15" s="167"/>
      <c r="AU15" s="167"/>
      <c r="AV15" s="167"/>
      <c r="AW15" s="167"/>
      <c r="AX15" s="167"/>
      <c r="AY15" s="167"/>
      <c r="AZ15" s="167"/>
    </row>
    <row r="16" spans="2:52" ht="12.75">
      <c r="B16" s="168"/>
      <c r="C16" s="230" t="s">
        <v>180</v>
      </c>
      <c r="D16" s="147"/>
      <c r="E16" s="147"/>
      <c r="F16" s="147"/>
      <c r="G16" s="147"/>
      <c r="H16" s="147"/>
      <c r="I16" s="147"/>
      <c r="J16" s="147"/>
      <c r="K16" s="147"/>
      <c r="L16" s="147"/>
      <c r="M16" s="147"/>
      <c r="N16" s="147"/>
      <c r="O16" s="147"/>
      <c r="P16" s="147"/>
      <c r="Q16" s="147"/>
      <c r="R16" s="147"/>
      <c r="S16" s="147"/>
      <c r="T16" s="147"/>
      <c r="U16" s="147"/>
      <c r="V16" s="147"/>
      <c r="W16" s="147"/>
      <c r="X16" s="147"/>
      <c r="Y16" s="147"/>
      <c r="Z16" s="231"/>
      <c r="AA16" s="147"/>
      <c r="AB16" s="147"/>
      <c r="AC16" s="147"/>
      <c r="AD16" s="147"/>
      <c r="AE16" s="147"/>
      <c r="AF16" s="147"/>
      <c r="AG16" s="231"/>
      <c r="AH16" s="167"/>
      <c r="AI16" s="167"/>
      <c r="AJ16" s="167"/>
      <c r="AK16" s="167"/>
      <c r="AL16" s="167"/>
      <c r="AM16" s="167"/>
      <c r="AN16" s="167"/>
      <c r="AO16" s="167"/>
      <c r="AP16" s="167"/>
      <c r="AQ16" s="167"/>
      <c r="AR16" s="167"/>
      <c r="AS16" s="167"/>
      <c r="AT16" s="167"/>
      <c r="AU16" s="167"/>
      <c r="AV16" s="167"/>
      <c r="AW16" s="167"/>
      <c r="AX16" s="167"/>
      <c r="AY16" s="167"/>
      <c r="AZ16" s="167"/>
    </row>
    <row r="17" spans="2:34" ht="12.75">
      <c r="B17" s="168"/>
      <c r="C17" s="232" t="s">
        <v>41</v>
      </c>
      <c r="D17" s="147" t="s">
        <v>181</v>
      </c>
      <c r="E17" s="147"/>
      <c r="F17" s="147"/>
      <c r="G17" s="303">
        <f>(input!$E$27*G14)/12*input!H8</f>
        <v>8871.1</v>
      </c>
      <c r="H17" s="147">
        <f>input!$E$27*H14+(input!$E$27-(input!$E$27*(1+input!$J$41)^G13))*H14</f>
        <v>105920.93400000002</v>
      </c>
      <c r="I17" s="147">
        <f>input!$E$27*I14+(input!$E$27-(input!$E$27*(1+input!$J$41)^H13))*I14</f>
        <v>106966.79677004999</v>
      </c>
      <c r="J17" s="147">
        <f>input!$E$27*J14+(input!$E$27-(input!$E$27*(1+input!$J$41)^I13))*J14</f>
        <v>108017.44773550876</v>
      </c>
      <c r="K17" s="147">
        <f>input!$E$27*K14+(input!$E$27-(input!$E$27*(1+input!$J$41)^J13))*K14</f>
        <v>109072.7399069036</v>
      </c>
      <c r="L17" s="147">
        <f>input!$E$27*L14+(input!$E$27-(input!$E$27*(1+input!$J$41)^K13))*L14</f>
        <v>110132.51969726077</v>
      </c>
      <c r="M17" s="147">
        <f>input!$E$27*M14+(input!$E$27-(input!$E$27*(1+input!$J$41)^L13))*M14</f>
        <v>111196.62673496024</v>
      </c>
      <c r="N17" s="147">
        <f>input!$E$27*N14+(input!$E$27-(input!$E$27*(1+input!$J$41)^M13))*N14</f>
        <v>112264.89367201319</v>
      </c>
      <c r="O17" s="147">
        <f>input!$E$27*O14+(input!$E$27-(input!$E$27*(1+input!$J$41)^N13))*O14</f>
        <v>113337.14598765771</v>
      </c>
      <c r="P17" s="147">
        <f>input!$E$27*P14+(input!$E$27-(input!$E$27*(1+input!$J$41)^O13))*P14</f>
        <v>114413.20178716643</v>
      </c>
      <c r="Q17" s="147">
        <f>input!$E$27*Q14+(input!$E$27-(input!$E$27*(1+input!$J$41)^P13))*Q14</f>
        <v>115492.87159575743</v>
      </c>
      <c r="R17" s="147">
        <f>input!$E$27*R14+(input!$E$27-(input!$E$27*(1+input!$J$41)^Q13))*R14</f>
        <v>116575.95814749658</v>
      </c>
      <c r="S17" s="147">
        <f>input!$E$27*S14+(input!$E$27-(input!$E$27*(1+input!$J$41)^R13))*S14</f>
        <v>117662.25616907876</v>
      </c>
      <c r="T17" s="147">
        <f>input!$E$27*T14+(input!$E$27-(input!$E$27*(1+input!$J$41)^S13))*T14</f>
        <v>118751.5521583707</v>
      </c>
      <c r="U17" s="147">
        <f>input!$E$27*U14+(input!$E$27-(input!$E$27*(1+input!$J$41)^T13))*U14</f>
        <v>119843.6241575982</v>
      </c>
      <c r="V17" s="147">
        <f>input!$E$27*V14+(input!$E$27-(input!$E$27*(1+input!$J$41)^U13))*V14</f>
        <v>120938.24152105486</v>
      </c>
      <c r="W17" s="147">
        <f>input!$E$27*W14+(input!$E$27-(input!$E$27*(1+input!$J$41)^V13))*W14</f>
        <v>122035.16467721034</v>
      </c>
      <c r="X17" s="147">
        <f>input!$E$27*X14+(input!$E$27-(input!$E$27*(1+input!$J$41)^W13))*X14</f>
        <v>123134.14488508993</v>
      </c>
      <c r="Y17" s="147">
        <f>input!$E$27*Y14+(input!$E$27-(input!$E$27*(1+input!$J$41)^X13))*Y14</f>
        <v>124234.92398479753</v>
      </c>
      <c r="Z17" s="147">
        <f>input!$E$27*Z14+(input!$E$27-(input!$E$27*(1+input!$J$41)^Y13))*Z14</f>
        <v>125337.23414204881</v>
      </c>
      <c r="AA17" s="147">
        <f>input!$E$27*AA14+(input!$E$27-(input!$E$27*(1+input!$J$41)^Z13))*AA14</f>
        <v>126440.79758658071</v>
      </c>
      <c r="AB17" s="147">
        <f>input!$E$27*AB14+(input!$E$27-(input!$E$27*(1+input!$J$41)^AA13))*AB14</f>
        <v>127545.3263442986</v>
      </c>
      <c r="AC17" s="147">
        <f>input!$E$27*AC14+(input!$E$27-(input!$E$27*(1+input!$J$41)^AB13))*AC14</f>
        <v>128650.52196302018</v>
      </c>
      <c r="AD17" s="147">
        <f>input!$E$27*AD14+(input!$E$27-(input!$E$27*(1+input!$J$41)^AC13))*AD14</f>
        <v>129756.07523167298</v>
      </c>
      <c r="AE17" s="147">
        <f>input!$E$27*AE14+(input!$E$27-(input!$E$27*(1+input!$J$41)^AD13))*AE14</f>
        <v>130861.66589279764</v>
      </c>
      <c r="AF17" s="147"/>
      <c r="AG17" s="231">
        <f>SUM($G$17:$AE$17)</f>
        <v>2847453.7647483945</v>
      </c>
      <c r="AH17" s="167"/>
    </row>
    <row r="18" spans="2:54" ht="12.75">
      <c r="B18" s="168"/>
      <c r="C18" s="232" t="s">
        <v>42</v>
      </c>
      <c r="D18" s="147" t="s">
        <v>182</v>
      </c>
      <c r="E18" s="147"/>
      <c r="F18" s="147"/>
      <c r="G18" s="217"/>
      <c r="H18" s="304"/>
      <c r="I18" s="217"/>
      <c r="J18" s="217"/>
      <c r="K18" s="217"/>
      <c r="L18" s="217"/>
      <c r="M18" s="217"/>
      <c r="N18" s="217"/>
      <c r="O18" s="217"/>
      <c r="P18" s="217"/>
      <c r="Q18" s="217"/>
      <c r="R18" s="217"/>
      <c r="S18" s="217"/>
      <c r="T18" s="217"/>
      <c r="U18" s="217"/>
      <c r="V18" s="217"/>
      <c r="W18" s="217"/>
      <c r="X18" s="217"/>
      <c r="Y18" s="217"/>
      <c r="Z18" s="217"/>
      <c r="AA18" s="147"/>
      <c r="AB18" s="147"/>
      <c r="AC18" s="147"/>
      <c r="AD18" s="217"/>
      <c r="AE18" s="217"/>
      <c r="AF18" s="217"/>
      <c r="AG18" s="217"/>
      <c r="AX18" s="165">
        <f>IF(V63&gt;0,V63*0.7*input!$I$15,0)</f>
        <v>1648.6400000000012</v>
      </c>
      <c r="AY18" s="165">
        <f>IF(W63&gt;0,W63*0.7*input!$I$15,0)</f>
        <v>1648.6400000000015</v>
      </c>
      <c r="AZ18" s="165">
        <f>IF(X63&gt;0,X63*0.7*input!$I$15,0)</f>
        <v>1648.6400000000015</v>
      </c>
      <c r="BA18" s="165">
        <f>IF(Y63&gt;0,Y63*0.7*input!$I$15,0)</f>
        <v>1648.6400000000015</v>
      </c>
      <c r="BB18" s="182">
        <f>IF(Z63&gt;0,Z63*0.7*input!$I$15,0)</f>
        <v>1648.6400000000015</v>
      </c>
    </row>
    <row r="19" spans="2:52" ht="12.75">
      <c r="B19" s="168"/>
      <c r="C19" s="232" t="s">
        <v>43</v>
      </c>
      <c r="D19" s="147" t="s">
        <v>183</v>
      </c>
      <c r="E19" s="147"/>
      <c r="F19" s="147"/>
      <c r="G19" s="147">
        <f>input!E44</f>
        <v>117760</v>
      </c>
      <c r="H19" s="147"/>
      <c r="I19" s="147"/>
      <c r="J19" s="147"/>
      <c r="K19" s="147"/>
      <c r="L19" s="147"/>
      <c r="M19" s="147"/>
      <c r="N19" s="147"/>
      <c r="O19" s="147"/>
      <c r="P19" s="147"/>
      <c r="Q19" s="147"/>
      <c r="R19" s="147"/>
      <c r="S19" s="147"/>
      <c r="T19" s="147"/>
      <c r="U19" s="147"/>
      <c r="V19" s="147"/>
      <c r="W19" s="147"/>
      <c r="X19" s="147"/>
      <c r="Y19" s="147"/>
      <c r="Z19" s="231"/>
      <c r="AA19" s="147"/>
      <c r="AB19" s="147"/>
      <c r="AC19" s="147"/>
      <c r="AD19" s="147"/>
      <c r="AE19" s="147"/>
      <c r="AF19" s="147"/>
      <c r="AG19" s="231"/>
      <c r="AH19" s="167"/>
      <c r="AI19" s="167"/>
      <c r="AJ19" s="167"/>
      <c r="AK19" s="167"/>
      <c r="AL19" s="167"/>
      <c r="AM19" s="167"/>
      <c r="AN19" s="167"/>
      <c r="AO19" s="167"/>
      <c r="AP19" s="167"/>
      <c r="AQ19" s="167"/>
      <c r="AR19" s="167"/>
      <c r="AS19" s="167"/>
      <c r="AT19" s="167"/>
      <c r="AU19" s="167"/>
      <c r="AV19" s="167"/>
      <c r="AW19" s="167"/>
      <c r="AX19" s="167"/>
      <c r="AY19" s="167"/>
      <c r="AZ19" s="167"/>
    </row>
    <row r="20" spans="2:52" ht="13.5" thickBot="1">
      <c r="B20" s="168"/>
      <c r="C20" s="189" t="s">
        <v>184</v>
      </c>
      <c r="D20" s="190"/>
      <c r="E20" s="190"/>
      <c r="F20" s="190"/>
      <c r="G20" s="190">
        <f>G17+G18</f>
        <v>8871.1</v>
      </c>
      <c r="H20" s="190">
        <f aca="true" t="shared" si="3" ref="H20:AE20">H17+H18</f>
        <v>105920.93400000002</v>
      </c>
      <c r="I20" s="190">
        <f t="shared" si="3"/>
        <v>106966.79677004999</v>
      </c>
      <c r="J20" s="190">
        <f t="shared" si="3"/>
        <v>108017.44773550876</v>
      </c>
      <c r="K20" s="190">
        <f t="shared" si="3"/>
        <v>109072.7399069036</v>
      </c>
      <c r="L20" s="190">
        <f t="shared" si="3"/>
        <v>110132.51969726077</v>
      </c>
      <c r="M20" s="190">
        <f t="shared" si="3"/>
        <v>111196.62673496024</v>
      </c>
      <c r="N20" s="190">
        <f t="shared" si="3"/>
        <v>112264.89367201319</v>
      </c>
      <c r="O20" s="190">
        <f t="shared" si="3"/>
        <v>113337.14598765771</v>
      </c>
      <c r="P20" s="190">
        <f t="shared" si="3"/>
        <v>114413.20178716643</v>
      </c>
      <c r="Q20" s="190">
        <f t="shared" si="3"/>
        <v>115492.87159575743</v>
      </c>
      <c r="R20" s="190">
        <f t="shared" si="3"/>
        <v>116575.95814749658</v>
      </c>
      <c r="S20" s="190">
        <f t="shared" si="3"/>
        <v>117662.25616907876</v>
      </c>
      <c r="T20" s="190">
        <f t="shared" si="3"/>
        <v>118751.5521583707</v>
      </c>
      <c r="U20" s="190">
        <f t="shared" si="3"/>
        <v>119843.6241575982</v>
      </c>
      <c r="V20" s="190">
        <f t="shared" si="3"/>
        <v>120938.24152105486</v>
      </c>
      <c r="W20" s="190">
        <f t="shared" si="3"/>
        <v>122035.16467721034</v>
      </c>
      <c r="X20" s="190">
        <f t="shared" si="3"/>
        <v>123134.14488508993</v>
      </c>
      <c r="Y20" s="190">
        <f t="shared" si="3"/>
        <v>124234.92398479753</v>
      </c>
      <c r="Z20" s="190">
        <f t="shared" si="3"/>
        <v>125337.23414204881</v>
      </c>
      <c r="AA20" s="190">
        <f t="shared" si="3"/>
        <v>126440.79758658071</v>
      </c>
      <c r="AB20" s="190">
        <f t="shared" si="3"/>
        <v>127545.3263442986</v>
      </c>
      <c r="AC20" s="190">
        <f t="shared" si="3"/>
        <v>128650.52196302018</v>
      </c>
      <c r="AD20" s="190">
        <f t="shared" si="3"/>
        <v>129756.07523167298</v>
      </c>
      <c r="AE20" s="190">
        <f t="shared" si="3"/>
        <v>130861.66589279764</v>
      </c>
      <c r="AF20" s="190"/>
      <c r="AG20" s="191">
        <f>SUM($G$20:$AE$20)</f>
        <v>2847453.7647483945</v>
      </c>
      <c r="AH20" s="167"/>
      <c r="AI20" s="167"/>
      <c r="AJ20" s="167"/>
      <c r="AK20" s="167"/>
      <c r="AL20" s="167"/>
      <c r="AM20" s="167"/>
      <c r="AN20" s="167"/>
      <c r="AO20" s="167"/>
      <c r="AP20" s="167"/>
      <c r="AQ20" s="167"/>
      <c r="AR20" s="167"/>
      <c r="AS20" s="167"/>
      <c r="AT20" s="167"/>
      <c r="AU20" s="167"/>
      <c r="AV20" s="167"/>
      <c r="AW20" s="167"/>
      <c r="AX20" s="167"/>
      <c r="AY20" s="167"/>
      <c r="AZ20" s="167"/>
    </row>
    <row r="21" spans="2:52" ht="12.75">
      <c r="B21" s="168"/>
      <c r="C21" s="227"/>
      <c r="D21" s="211"/>
      <c r="E21" s="211"/>
      <c r="F21" s="211"/>
      <c r="G21" s="211"/>
      <c r="H21" s="211"/>
      <c r="I21" s="211"/>
      <c r="J21" s="211"/>
      <c r="K21" s="211"/>
      <c r="L21" s="211"/>
      <c r="M21" s="211"/>
      <c r="N21" s="211"/>
      <c r="O21" s="211"/>
      <c r="P21" s="211"/>
      <c r="Q21" s="211"/>
      <c r="R21" s="211"/>
      <c r="S21" s="211"/>
      <c r="T21" s="211"/>
      <c r="U21" s="211"/>
      <c r="V21" s="211"/>
      <c r="W21" s="211"/>
      <c r="X21" s="211"/>
      <c r="Y21" s="211"/>
      <c r="Z21" s="228"/>
      <c r="AA21" s="211"/>
      <c r="AB21" s="211"/>
      <c r="AC21" s="211"/>
      <c r="AD21" s="211"/>
      <c r="AE21" s="211"/>
      <c r="AF21" s="219"/>
      <c r="AG21" s="229"/>
      <c r="AH21" s="167"/>
      <c r="AI21" s="167"/>
      <c r="AJ21" s="167"/>
      <c r="AK21" s="167"/>
      <c r="AL21" s="167"/>
      <c r="AM21" s="167"/>
      <c r="AN21" s="167"/>
      <c r="AO21" s="167"/>
      <c r="AP21" s="167"/>
      <c r="AQ21" s="167"/>
      <c r="AR21" s="167"/>
      <c r="AS21" s="167"/>
      <c r="AT21" s="167"/>
      <c r="AU21" s="167"/>
      <c r="AV21" s="167"/>
      <c r="AW21" s="167"/>
      <c r="AX21" s="167"/>
      <c r="AY21" s="167"/>
      <c r="AZ21" s="167"/>
    </row>
    <row r="22" spans="2:52" ht="12.75">
      <c r="B22" s="168"/>
      <c r="C22" s="230" t="s">
        <v>185</v>
      </c>
      <c r="D22" s="147"/>
      <c r="E22" s="147"/>
      <c r="F22" s="147"/>
      <c r="G22" s="147"/>
      <c r="H22" s="147"/>
      <c r="I22" s="147"/>
      <c r="J22" s="147"/>
      <c r="K22" s="147"/>
      <c r="L22" s="147"/>
      <c r="M22" s="147"/>
      <c r="N22" s="147"/>
      <c r="O22" s="147"/>
      <c r="P22" s="147"/>
      <c r="Q22" s="147"/>
      <c r="R22" s="147"/>
      <c r="S22" s="147"/>
      <c r="T22" s="147"/>
      <c r="U22" s="147"/>
      <c r="V22" s="147"/>
      <c r="W22" s="147"/>
      <c r="X22" s="147"/>
      <c r="Y22" s="147"/>
      <c r="Z22" s="231"/>
      <c r="AA22" s="147"/>
      <c r="AB22" s="147"/>
      <c r="AC22" s="147"/>
      <c r="AD22" s="147"/>
      <c r="AE22" s="147"/>
      <c r="AF22" s="147"/>
      <c r="AG22" s="231"/>
      <c r="AH22" s="167"/>
      <c r="AI22" s="167"/>
      <c r="AJ22" s="167"/>
      <c r="AK22" s="167"/>
      <c r="AL22" s="167"/>
      <c r="AM22" s="167"/>
      <c r="AN22" s="167"/>
      <c r="AO22" s="167"/>
      <c r="AP22" s="167"/>
      <c r="AQ22" s="167"/>
      <c r="AR22" s="167"/>
      <c r="AS22" s="167"/>
      <c r="AT22" s="167"/>
      <c r="AU22" s="167"/>
      <c r="AV22" s="167"/>
      <c r="AW22" s="167"/>
      <c r="AX22" s="167"/>
      <c r="AY22" s="167"/>
      <c r="AZ22" s="167"/>
    </row>
    <row r="23" spans="2:52" ht="12.75">
      <c r="B23" s="168"/>
      <c r="C23" s="232" t="s">
        <v>44</v>
      </c>
      <c r="D23" s="147" t="s">
        <v>186</v>
      </c>
      <c r="E23" s="147"/>
      <c r="F23" s="147"/>
      <c r="G23" s="147">
        <f>(input!$D$54*($L$3))/12*input!H8</f>
        <v>0</v>
      </c>
      <c r="H23" s="147">
        <f>input!$D$54*($L$3-SUM(G24))</f>
        <v>0</v>
      </c>
      <c r="I23" s="147">
        <f>input!$D$54*($L$3-SUM($G$24:H24))</f>
        <v>0</v>
      </c>
      <c r="J23" s="147">
        <f>input!$D$54*($L$3-SUM($G$24:I24))</f>
        <v>0</v>
      </c>
      <c r="K23" s="147">
        <f>input!$D$54*($L$3-SUM($G$24:J24))</f>
        <v>0</v>
      </c>
      <c r="L23" s="147">
        <f>input!$D$54*($L$3-SUM($G$24:K24))</f>
        <v>0</v>
      </c>
      <c r="M23" s="147">
        <f>input!$D$54*($L$3-SUM($G$24:L24))</f>
        <v>0</v>
      </c>
      <c r="N23" s="147">
        <f>input!$D$54*($L$3-SUM($G$24:M24))</f>
        <v>0</v>
      </c>
      <c r="O23" s="147">
        <f>input!$D$54*($L$3-SUM($G$24:N24))</f>
        <v>0</v>
      </c>
      <c r="P23" s="147">
        <f>input!$D$54*($L$3-SUM($G$24:O24))</f>
        <v>0</v>
      </c>
      <c r="Q23" s="147">
        <f>input!$D$54*($L$3-SUM($G$24:P24))</f>
        <v>0</v>
      </c>
      <c r="R23" s="147">
        <f>input!$D$54*($L$3-SUM($G$24:Q24))</f>
        <v>0</v>
      </c>
      <c r="S23" s="147">
        <f>input!$D$54*($L$3-SUM($G$24:R24))</f>
        <v>0</v>
      </c>
      <c r="T23" s="147">
        <f>input!$D$54*($L$3-SUM($G$24:S24))</f>
        <v>0</v>
      </c>
      <c r="U23" s="147">
        <f>input!$D$54*($L$3-SUM($G$24:T24))</f>
        <v>0</v>
      </c>
      <c r="V23" s="147">
        <f>input!$D$54*($L$3-SUM($G$24:U24))</f>
        <v>0</v>
      </c>
      <c r="W23" s="147">
        <f>input!$D$54*($L$3-SUM($G$24:V24))</f>
        <v>0</v>
      </c>
      <c r="X23" s="147">
        <f>input!$D$54*($L$3-SUM($G$24:W24))</f>
        <v>0</v>
      </c>
      <c r="Y23" s="147">
        <f>input!$D$54*($L$3-SUM($G$24:X24))</f>
        <v>0</v>
      </c>
      <c r="Z23" s="231">
        <f>input!$D$54*($L$3-SUM($G$24:Y24))</f>
        <v>0</v>
      </c>
      <c r="AA23" s="147">
        <f>input!$D$54*($L$3-SUM($G$24:Z24))</f>
        <v>0</v>
      </c>
      <c r="AB23" s="147">
        <f>input!$D$54*($L$3-SUM($G$24:AA24))</f>
        <v>0</v>
      </c>
      <c r="AC23" s="147">
        <f>input!$D$54*($L$3-SUM($G$24:AB24))</f>
        <v>0</v>
      </c>
      <c r="AD23" s="147">
        <f>input!$D$54*($L$3-SUM($G$24:AC24))</f>
        <v>0</v>
      </c>
      <c r="AE23" s="147">
        <f>input!$D$54*($L$3-SUM($G$24:AD24))</f>
        <v>0</v>
      </c>
      <c r="AF23" s="147"/>
      <c r="AG23" s="233">
        <f>SUM($G$23:$AE$23)</f>
        <v>0</v>
      </c>
      <c r="AH23" s="167"/>
      <c r="AI23" s="167"/>
      <c r="AJ23" s="167"/>
      <c r="AK23" s="167"/>
      <c r="AL23" s="167"/>
      <c r="AM23" s="167"/>
      <c r="AN23" s="167"/>
      <c r="AO23" s="167"/>
      <c r="AP23" s="167"/>
      <c r="AQ23" s="167"/>
      <c r="AR23" s="167"/>
      <c r="AS23" s="167"/>
      <c r="AT23" s="167"/>
      <c r="AU23" s="167"/>
      <c r="AV23" s="167"/>
      <c r="AW23" s="167"/>
      <c r="AX23" s="167"/>
      <c r="AY23" s="167"/>
      <c r="AZ23" s="167"/>
    </row>
    <row r="24" spans="2:52" ht="12.75">
      <c r="B24" s="168"/>
      <c r="C24" s="232" t="s">
        <v>44</v>
      </c>
      <c r="D24" s="147" t="s">
        <v>187</v>
      </c>
      <c r="E24" s="147"/>
      <c r="F24" s="147"/>
      <c r="G24" s="147">
        <f>(IF(OR(input!$D$53&gt;=G13,input!$D$52&lt;result!G13),0,input!$J$53))/12*input!H8</f>
        <v>0</v>
      </c>
      <c r="H24" s="147">
        <f>IF(OR(input!$D$53&gt;=H13,input!$D$52&lt;result!H13),0,input!$J$53)</f>
        <v>0</v>
      </c>
      <c r="I24" s="147">
        <f>IF(OR(input!$D$53&gt;=I13,input!$D$52&lt;result!I13),0,input!$J$53)</f>
        <v>0</v>
      </c>
      <c r="J24" s="147">
        <f>IF(OR(input!$D$53&gt;=J13,input!$D$52&lt;result!J13),0,input!$J$53)</f>
        <v>0</v>
      </c>
      <c r="K24" s="147">
        <f>IF(OR(input!$D$53&gt;=K13,input!$D$52&lt;result!K13),0,input!$J$53)</f>
        <v>0</v>
      </c>
      <c r="L24" s="147">
        <f>IF(OR(input!$D$53&gt;=L13,input!$D$52&lt;result!L13),0,input!$J$53)</f>
        <v>0</v>
      </c>
      <c r="M24" s="147">
        <f>IF(OR(input!$D$53&gt;=M13,input!$D$52&lt;result!M13),0,input!$J$53)</f>
        <v>0</v>
      </c>
      <c r="N24" s="147">
        <f>IF(OR(input!$D$53&gt;=N13,input!$D$52&lt;result!N13),0,input!$J$53)</f>
        <v>0</v>
      </c>
      <c r="O24" s="147">
        <f>IF(OR(input!$D$53&gt;=O13,input!$D$52&lt;result!O13),0,input!$J$53)</f>
        <v>0</v>
      </c>
      <c r="P24" s="147">
        <f>IF(OR(input!$D$53&gt;=P13,input!$D$52&lt;result!P13),0,input!$J$53)</f>
        <v>0</v>
      </c>
      <c r="Q24" s="147">
        <f>IF(OR(input!$D$53&gt;=Q13,input!$D$52&lt;result!Q13),0,input!$J$53)</f>
        <v>0</v>
      </c>
      <c r="R24" s="147">
        <f>IF(OR(input!$D$53&gt;=R13,input!$D$52&lt;result!R13),0,input!$J$53)</f>
        <v>0</v>
      </c>
      <c r="S24" s="147">
        <f>IF(OR(input!$D$53&gt;=S13,input!$D$52&lt;result!S13),0,input!$J$53)</f>
        <v>0</v>
      </c>
      <c r="T24" s="147">
        <f>IF(OR(input!$D$53&gt;=T13,input!$D$52&lt;result!T13),0,input!$J$53)</f>
        <v>0</v>
      </c>
      <c r="U24" s="147">
        <f>IF(OR(input!$D$53&gt;=U13,input!$D$52&lt;result!U13),0,input!$J$53)</f>
        <v>0</v>
      </c>
      <c r="V24" s="147">
        <f>IF(OR(input!$D$53&gt;=V13,input!$D$52&lt;result!V13),0,input!$J$53)</f>
        <v>0</v>
      </c>
      <c r="W24" s="147">
        <f>IF(OR(input!$D$53&gt;=W13,input!$D$52&lt;result!W13),0,input!$J$53)</f>
        <v>0</v>
      </c>
      <c r="X24" s="147">
        <f>IF(OR(input!$D$53&gt;=X13,input!$D$52&lt;result!X13),0,input!$J$53)</f>
        <v>0</v>
      </c>
      <c r="Y24" s="147">
        <f>IF(OR(input!$D$53&gt;=Y13,input!$D$52&lt;result!Y13),0,input!$J$53)</f>
        <v>0</v>
      </c>
      <c r="Z24" s="231">
        <f>IF(OR(input!$D$53&gt;=Z13,input!$D$52&lt;result!Z13),0,input!$J$53)</f>
        <v>0</v>
      </c>
      <c r="AA24" s="147">
        <f>IF(OR(input!$D$53&gt;=AA13,input!$D$52&lt;result!AA13),0,input!$J$53)</f>
        <v>0</v>
      </c>
      <c r="AB24" s="147">
        <f>IF(OR(input!$D$53&gt;=AB13,input!$D$52&lt;result!AB13),0,input!$J$53)</f>
        <v>0</v>
      </c>
      <c r="AC24" s="147">
        <f>IF(OR(input!$D$53&gt;=AC13,input!$D$52&lt;result!AC13),0,input!$J$53)</f>
        <v>0</v>
      </c>
      <c r="AD24" s="147">
        <f>IF(OR(input!$D$53&gt;=AD13,input!$D$52&lt;result!AD13),0,input!$J$53)</f>
        <v>0</v>
      </c>
      <c r="AE24" s="147">
        <f>IF(OR(input!$D$53&gt;=AE13,input!$D$52&lt;result!AE13),0,input!$J$53)</f>
        <v>0</v>
      </c>
      <c r="AF24" s="147"/>
      <c r="AG24" s="233">
        <f>SUM($G$24:$AE$24)</f>
        <v>0</v>
      </c>
      <c r="AH24" s="167"/>
      <c r="AI24" s="167"/>
      <c r="AJ24" s="167"/>
      <c r="AK24" s="167"/>
      <c r="AL24" s="167"/>
      <c r="AM24" s="167"/>
      <c r="AN24" s="167"/>
      <c r="AO24" s="167"/>
      <c r="AP24" s="167"/>
      <c r="AQ24" s="167"/>
      <c r="AR24" s="167"/>
      <c r="AS24" s="167"/>
      <c r="AT24" s="167"/>
      <c r="AU24" s="167"/>
      <c r="AV24" s="167"/>
      <c r="AW24" s="167"/>
      <c r="AX24" s="167"/>
      <c r="AY24" s="167"/>
      <c r="AZ24" s="167"/>
    </row>
    <row r="25" spans="2:52" ht="12.75">
      <c r="B25" s="168"/>
      <c r="C25" s="232" t="s">
        <v>45</v>
      </c>
      <c r="D25" s="147" t="s">
        <v>159</v>
      </c>
      <c r="E25" s="147"/>
      <c r="F25" s="147"/>
      <c r="G25" s="147">
        <f>(input!$D$60*result!G17+input!$E$60)/12*input!H8</f>
        <v>1227.6925058993577</v>
      </c>
      <c r="H25" s="147">
        <f>input!$D$60*result!H17+input!$E$60*((1+input!$I$60)^result!G13)</f>
        <v>26583.306821854178</v>
      </c>
      <c r="I25" s="147">
        <f>input!$D$60*result!I17+input!$E$60*((1+input!$I$60)^result!H13)</f>
        <v>26916.902275387984</v>
      </c>
      <c r="J25" s="147">
        <f>input!$D$60*result!J17+input!$E$60*((1+input!$I$60)^result!I13)</f>
        <v>27254.193691187764</v>
      </c>
      <c r="K25" s="147">
        <f>input!$D$60*result!K17+input!$E$60*((1+input!$I$60)^result!J13)</f>
        <v>27595.210251199045</v>
      </c>
      <c r="L25" s="147">
        <f>input!$D$60*result!L17+input!$E$60*((1+input!$I$60)^result!K13)</f>
        <v>27939.98104797746</v>
      </c>
      <c r="M25" s="147">
        <f>input!$D$60*result!M17+input!$E$60*((1+input!$I$60)^result!L13)</f>
        <v>28288.53507276599</v>
      </c>
      <c r="N25" s="147">
        <f>input!$D$60*result!N17+input!$E$60*((1+input!$I$60)^result!M13)</f>
        <v>28640.9012031809</v>
      </c>
      <c r="O25" s="147">
        <f>input!$D$60*result!O17+input!$E$60*((1+input!$I$60)^result!N13)</f>
        <v>28997.108190496332</v>
      </c>
      <c r="P25" s="147">
        <f>input!$D$60*result!P17+input!$E$60*((1+input!$I$60)^result!O13)</f>
        <v>29357.18464651704</v>
      </c>
      <c r="Q25" s="147">
        <f>input!$D$60*result!Q17+input!$E$60*((1+input!$I$60)^result!P13)</f>
        <v>29721.159030028808</v>
      </c>
      <c r="R25" s="147">
        <f>input!$D$60*result!R17+input!$E$60*((1+input!$I$60)^result!Q13)</f>
        <v>30089.059632815577</v>
      </c>
      <c r="S25" s="147">
        <f>input!$D$60*result!S17+input!$E$60*((1+input!$I$60)^result!R13)</f>
        <v>30460.914565232175</v>
      </c>
      <c r="T25" s="147">
        <f>input!$D$60*result!T17+input!$E$60*((1+input!$I$60)^result!S13)</f>
        <v>30836.751741321346</v>
      </c>
      <c r="U25" s="147">
        <f>input!$D$60*result!U17+input!$E$60*((1+input!$I$60)^result!T13)</f>
        <v>31216.598863463398</v>
      </c>
      <c r="V25" s="147">
        <f>input!$D$60*result!V17+input!$E$60*((1+input!$I$60)^result!U13)</f>
        <v>31600.483406546467</v>
      </c>
      <c r="W25" s="147">
        <f>input!$D$60*result!W17+input!$E$60*((1+input!$I$60)^result!V13)</f>
        <v>31988.43260164542</v>
      </c>
      <c r="X25" s="147">
        <f>input!$D$60*result!X17+input!$E$60*((1+input!$I$60)^result!W13)</f>
        <v>32380.47341919667</v>
      </c>
      <c r="Y25" s="147">
        <f>input!$D$60*result!Y17+input!$E$60*((1+input!$I$60)^result!X13)</f>
        <v>32776.63255165637</v>
      </c>
      <c r="Z25" s="231">
        <f>input!$D$60*result!Z17+input!$E$60*((1+input!$I$60)^result!Y13)</f>
        <v>33176.93639562873</v>
      </c>
      <c r="AA25" s="147">
        <f>input!$D$60*result!AA17+input!$E$60*((1+input!$I$60)^result!Z13)</f>
        <v>33581.411033451295</v>
      </c>
      <c r="AB25" s="147">
        <f>input!$D$60*result!AB17+input!$E$60*((1+input!$I$60)^result!AA13)</f>
        <v>33990.08221422337</v>
      </c>
      <c r="AC25" s="147">
        <f>input!$D$60*result!AC17+input!$E$60*((1+input!$I$60)^result!AB13)</f>
        <v>34402.97533426357</v>
      </c>
      <c r="AD25" s="147">
        <f>input!$D$60*result!AD17+input!$E$60*((1+input!$I$60)^result!AC13)</f>
        <v>34820.115416982415</v>
      </c>
      <c r="AE25" s="147">
        <f>input!$D$60*result!AE17+input!$E$60*((1+input!$I$60)^result!AD13)</f>
        <v>35241.5270921551</v>
      </c>
      <c r="AF25" s="219"/>
      <c r="AG25" s="233">
        <f>SUM($G$25:$AE$25)</f>
        <v>739084.5690050767</v>
      </c>
      <c r="AH25" s="167"/>
      <c r="AI25" s="167"/>
      <c r="AJ25" s="167"/>
      <c r="AK25" s="167"/>
      <c r="AL25" s="167"/>
      <c r="AM25" s="167"/>
      <c r="AN25" s="167"/>
      <c r="AO25" s="167"/>
      <c r="AP25" s="167"/>
      <c r="AQ25" s="167"/>
      <c r="AR25" s="167"/>
      <c r="AS25" s="167"/>
      <c r="AT25" s="167"/>
      <c r="AU25" s="167"/>
      <c r="AV25" s="167"/>
      <c r="AW25" s="167"/>
      <c r="AX25" s="167"/>
      <c r="AY25" s="167"/>
      <c r="AZ25" s="167"/>
    </row>
    <row r="26" spans="2:52" ht="12.75">
      <c r="B26" s="168"/>
      <c r="C26" s="232" t="s">
        <v>46</v>
      </c>
      <c r="D26" s="147" t="s">
        <v>160</v>
      </c>
      <c r="E26" s="147"/>
      <c r="F26" s="147"/>
      <c r="G26" s="147">
        <v>0</v>
      </c>
      <c r="H26" s="147">
        <v>0</v>
      </c>
      <c r="I26" s="147">
        <v>0</v>
      </c>
      <c r="J26" s="147">
        <v>0</v>
      </c>
      <c r="K26" s="147">
        <v>0</v>
      </c>
      <c r="L26" s="147">
        <v>0</v>
      </c>
      <c r="M26" s="147">
        <v>0</v>
      </c>
      <c r="N26" s="147">
        <v>0</v>
      </c>
      <c r="O26" s="147">
        <v>0</v>
      </c>
      <c r="P26" s="147">
        <v>0</v>
      </c>
      <c r="Q26" s="147">
        <v>0</v>
      </c>
      <c r="R26" s="147">
        <v>0</v>
      </c>
      <c r="S26" s="147">
        <v>0</v>
      </c>
      <c r="T26" s="147">
        <v>0</v>
      </c>
      <c r="U26" s="147">
        <v>0</v>
      </c>
      <c r="V26" s="147">
        <v>0</v>
      </c>
      <c r="W26" s="147">
        <v>0</v>
      </c>
      <c r="X26" s="219"/>
      <c r="Y26" s="147">
        <v>0</v>
      </c>
      <c r="Z26" s="231">
        <f>input!E61</f>
        <v>0</v>
      </c>
      <c r="AA26" s="147">
        <v>0</v>
      </c>
      <c r="AB26" s="147">
        <v>0</v>
      </c>
      <c r="AC26" s="147">
        <v>0</v>
      </c>
      <c r="AD26" s="147">
        <v>0</v>
      </c>
      <c r="AE26" s="147">
        <v>0</v>
      </c>
      <c r="AF26" s="234"/>
      <c r="AG26" s="233">
        <f>SUM($G$26:$Y$26)</f>
        <v>0</v>
      </c>
      <c r="AH26" s="167"/>
      <c r="AI26" s="167"/>
      <c r="AJ26" s="167"/>
      <c r="AK26" s="167"/>
      <c r="AL26" s="167"/>
      <c r="AM26" s="167"/>
      <c r="AN26" s="167"/>
      <c r="AO26" s="167"/>
      <c r="AP26" s="167"/>
      <c r="AQ26" s="167"/>
      <c r="AR26" s="167"/>
      <c r="AS26" s="167"/>
      <c r="AT26" s="167"/>
      <c r="AU26" s="167"/>
      <c r="AV26" s="167"/>
      <c r="AW26" s="167"/>
      <c r="AX26" s="167"/>
      <c r="AY26" s="167"/>
      <c r="AZ26" s="167"/>
    </row>
    <row r="27" spans="2:52" ht="12.75">
      <c r="B27" s="168"/>
      <c r="C27" s="232" t="s">
        <v>47</v>
      </c>
      <c r="D27" s="147" t="s">
        <v>161</v>
      </c>
      <c r="E27" s="147"/>
      <c r="F27" s="147"/>
      <c r="G27" s="234">
        <f>(input!$E$62*((1+input!$I$62)^E13)*$D$2)</f>
        <v>3416.944517698073</v>
      </c>
      <c r="H27" s="234">
        <f>(input!$E$62*((1+input!$I$62)^G13)*$D$2)</f>
        <v>3502.3681306405247</v>
      </c>
      <c r="I27" s="234">
        <f>(input!$E$62*((1+input!$I$62)^H13)*$D$2)</f>
        <v>3589.9273339065376</v>
      </c>
      <c r="J27" s="234">
        <f>(input!$E$62*((1+input!$I$62)^I13)*$D$2)</f>
        <v>3679.675517254201</v>
      </c>
      <c r="K27" s="234">
        <f>(input!$E$62*((1+input!$I$62)^J13)*$D$2)</f>
        <v>3771.6674051855557</v>
      </c>
      <c r="L27" s="234">
        <f>(input!$E$62*((1+input!$I$62)^K13)*$D$2)</f>
        <v>3865.9590903151943</v>
      </c>
      <c r="M27" s="234">
        <f>(input!$E$62*((1+input!$I$62)^L13)*$D$2)</f>
        <v>3962.6080675730736</v>
      </c>
      <c r="N27" s="234">
        <f>(input!$E$62*((1+input!$I$62)^M13)*$D$2)</f>
        <v>4061.673269262401</v>
      </c>
      <c r="O27" s="234">
        <f>(input!$E$62*((1+input!$I$62)^N13)*$D$2)</f>
        <v>4163.215100993961</v>
      </c>
      <c r="P27" s="234">
        <f>(input!$E$62*((1+input!$I$62)^O13)*$D$2)</f>
        <v>4267.2954785188085</v>
      </c>
      <c r="Q27" s="234">
        <f>(input!$E$62*((1+input!$I$62)^P13)*$D$2)</f>
        <v>4373.977865481779</v>
      </c>
      <c r="R27" s="234">
        <f>(input!$E$62*((1+input!$I$62)^Q13)*$D$2)</f>
        <v>4483.327312118823</v>
      </c>
      <c r="S27" s="234">
        <f>(input!$E$62*((1+input!$I$62)^R13)*$D$2)</f>
        <v>4595.4104949217935</v>
      </c>
      <c r="T27" s="234">
        <f>(input!$E$62*((1+input!$I$62)^S13)*$D$2)</f>
        <v>4710.295757294838</v>
      </c>
      <c r="U27" s="234">
        <f>(input!$E$62*((1+input!$I$62)^T13)*$D$2)</f>
        <v>4828.053151227208</v>
      </c>
      <c r="V27" s="234">
        <f>(input!$E$62*((1+input!$I$62)^U13)*$D$2)</f>
        <v>4948.7544800078895</v>
      </c>
      <c r="W27" s="234">
        <f>(input!$E$62*((1+input!$I$62)^V13)*$D$2)</f>
        <v>5072.473342008087</v>
      </c>
      <c r="X27" s="234">
        <f>(input!$E$62*((1+input!$I$62)^W13)*$D$2)</f>
        <v>5199.285175558288</v>
      </c>
      <c r="Y27" s="234">
        <f>(input!$E$62*((1+input!$I$62)^X13)*$D$2)</f>
        <v>5329.267304947245</v>
      </c>
      <c r="Z27" s="234">
        <f>(input!$E$62*((1+input!$I$62)^Y13)*$D$2)</f>
        <v>5462.498987570926</v>
      </c>
      <c r="AA27" s="234">
        <f>(input!$E$62*((1+input!$I$62)^Z13)*$D$2)</f>
        <v>5599.061462260199</v>
      </c>
      <c r="AB27" s="234">
        <f>(input!$E$62*((1+input!$I$62)^AA13)*$D$2)</f>
        <v>5739.037998816703</v>
      </c>
      <c r="AC27" s="234">
        <f>(input!$E$62*((1+input!$I$62)^AB13)*$D$2)</f>
        <v>5882.513948787121</v>
      </c>
      <c r="AD27" s="234">
        <f>(input!$E$62*((1+input!$I$62)^AC13)*$D$2)</f>
        <v>6029.576797506799</v>
      </c>
      <c r="AE27" s="234">
        <f>(input!$E$62*((1+input!$I$62)^AD13)*$D$2)</f>
        <v>6180.316217444469</v>
      </c>
      <c r="AF27" s="144"/>
      <c r="AG27" s="233">
        <f>SUM($G$27:$AE$27)</f>
        <v>116715.18420730051</v>
      </c>
      <c r="AH27" s="167"/>
      <c r="AI27" s="167"/>
      <c r="AJ27" s="167"/>
      <c r="AK27" s="167"/>
      <c r="AL27" s="167"/>
      <c r="AM27" s="167"/>
      <c r="AN27" s="167"/>
      <c r="AO27" s="167"/>
      <c r="AP27" s="167"/>
      <c r="AQ27" s="167"/>
      <c r="AR27" s="167"/>
      <c r="AS27" s="167"/>
      <c r="AT27" s="167"/>
      <c r="AU27" s="167"/>
      <c r="AV27" s="167"/>
      <c r="AW27" s="167"/>
      <c r="AX27" s="167"/>
      <c r="AY27" s="167"/>
      <c r="AZ27" s="167"/>
    </row>
    <row r="28" spans="2:52" ht="12.75">
      <c r="B28" s="168"/>
      <c r="C28" s="232" t="s">
        <v>48</v>
      </c>
      <c r="D28" s="147" t="s">
        <v>162</v>
      </c>
      <c r="E28" s="147"/>
      <c r="F28" s="147"/>
      <c r="G28" s="234">
        <f>(input!$E$63*((1+input!$I$62)^E13)*$D$2)</f>
        <v>1138.9815058993577</v>
      </c>
      <c r="H28" s="234">
        <f>(input!$E$63*((1+input!$I$62)^G13)*$D$2)</f>
        <v>1167.4560435468416</v>
      </c>
      <c r="I28" s="234">
        <f>(input!$E$63*((1+input!$I$62)^H13)*$D$2)</f>
        <v>1196.6424446355127</v>
      </c>
      <c r="J28" s="234">
        <f>(input!$E$63*((1+input!$I$62)^I13)*$D$2)</f>
        <v>1226.5585057514004</v>
      </c>
      <c r="K28" s="234">
        <f>(input!$E$63*((1+input!$I$62)^J13)*$D$2)</f>
        <v>1257.2224683951852</v>
      </c>
      <c r="L28" s="234">
        <f>(input!$E$63*((1+input!$I$62)^K13)*$D$2)</f>
        <v>1288.6530301050648</v>
      </c>
      <c r="M28" s="234">
        <f>(input!$E$63*((1+input!$I$62)^L13)*$D$2)</f>
        <v>1320.8693558576913</v>
      </c>
      <c r="N28" s="234">
        <f>(input!$E$63*((1+input!$I$62)^M13)*$D$2)</f>
        <v>1353.8910897541336</v>
      </c>
      <c r="O28" s="234">
        <f>(input!$E$63*((1+input!$I$62)^N13)*$D$2)</f>
        <v>1387.7383669979868</v>
      </c>
      <c r="P28" s="234">
        <f>(input!$E$63*((1+input!$I$62)^O13)*$D$2)</f>
        <v>1422.4318261729363</v>
      </c>
      <c r="Q28" s="234">
        <f>(input!$E$63*((1+input!$I$62)^P13)*$D$2)</f>
        <v>1457.9926218272597</v>
      </c>
      <c r="R28" s="234">
        <f>(input!$E$63*((1+input!$I$62)^Q13)*$D$2)</f>
        <v>1494.4424373729412</v>
      </c>
      <c r="S28" s="234">
        <f>(input!$E$63*((1+input!$I$62)^R13)*$D$2)</f>
        <v>1531.8034983072646</v>
      </c>
      <c r="T28" s="234">
        <f>(input!$E$63*((1+input!$I$62)^S13)*$D$2)</f>
        <v>1570.0985857649462</v>
      </c>
      <c r="U28" s="234">
        <f>(input!$E$63*((1+input!$I$62)^T13)*$D$2)</f>
        <v>1609.3510504090696</v>
      </c>
      <c r="V28" s="234">
        <f>(input!$E$63*((1+input!$I$62)^U13)*$D$2)</f>
        <v>1649.5848266692965</v>
      </c>
      <c r="W28" s="234">
        <f>(input!$E$63*((1+input!$I$62)^V13)*$D$2)</f>
        <v>1690.8244473360287</v>
      </c>
      <c r="X28" s="234">
        <f>(input!$E$63*((1+input!$I$62)^W13)*$D$2)</f>
        <v>1733.0950585194294</v>
      </c>
      <c r="Y28" s="234">
        <f>(input!$E$63*((1+input!$I$62)^X13)*$D$2)</f>
        <v>1776.422434982415</v>
      </c>
      <c r="Z28" s="234">
        <f>(input!$E$63*((1+input!$I$62)^Y13)*$D$2)</f>
        <v>1820.8329958569755</v>
      </c>
      <c r="AA28" s="234">
        <f>(input!$E$63*((1+input!$I$62)^Z13)*$D$2)</f>
        <v>1866.3538207533995</v>
      </c>
      <c r="AB28" s="234">
        <f>(input!$E$63*((1+input!$I$62)^AA13)*$D$2)</f>
        <v>1913.0126662722344</v>
      </c>
      <c r="AC28" s="234">
        <f>(input!$E$63*((1+input!$I$62)^AB13)*$D$2)</f>
        <v>1960.8379829290402</v>
      </c>
      <c r="AD28" s="234">
        <f>(input!$E$63*((1+input!$I$62)^AC13)*$D$2)</f>
        <v>2009.8589325022663</v>
      </c>
      <c r="AE28" s="234">
        <f>(input!$E$63*((1+input!$I$62)^AD13)*$D$2)</f>
        <v>2060.105405814823</v>
      </c>
      <c r="AF28" s="144"/>
      <c r="AG28" s="233">
        <f>SUM($G$28:$AE$28)</f>
        <v>38905.0614024335</v>
      </c>
      <c r="AH28" s="167"/>
      <c r="AI28" s="167"/>
      <c r="AJ28" s="167"/>
      <c r="AK28" s="167"/>
      <c r="AL28" s="167"/>
      <c r="AM28" s="167"/>
      <c r="AN28" s="167"/>
      <c r="AO28" s="167"/>
      <c r="AP28" s="167"/>
      <c r="AQ28" s="167"/>
      <c r="AR28" s="167"/>
      <c r="AS28" s="167"/>
      <c r="AT28" s="167"/>
      <c r="AU28" s="167"/>
      <c r="AV28" s="167"/>
      <c r="AW28" s="167"/>
      <c r="AX28" s="167"/>
      <c r="AY28" s="167"/>
      <c r="AZ28" s="167"/>
    </row>
    <row r="29" spans="2:52" ht="12.75">
      <c r="B29" s="168"/>
      <c r="C29" s="232" t="s">
        <v>49</v>
      </c>
      <c r="D29" s="147" t="s">
        <v>188</v>
      </c>
      <c r="E29" s="147"/>
      <c r="F29" s="147"/>
      <c r="G29" s="147">
        <f>(input!$E$64*$D$2)/12*input!H8</f>
        <v>18.98302509832263</v>
      </c>
      <c r="H29" s="147">
        <f>input!$E$64*((1+input!$I$64)^result!G13)*$D$2</f>
        <v>231.21324569756962</v>
      </c>
      <c r="I29" s="147">
        <f>input!$E$64*((1+input!$I$64)^result!H13)*$D$2</f>
        <v>234.68144438303312</v>
      </c>
      <c r="J29" s="147">
        <f>input!$E$64*((1+input!$I$64)^result!I13)*$D$2</f>
        <v>238.20166604877858</v>
      </c>
      <c r="K29" s="147">
        <f>input!$E$64*((1+input!$I$64)^result!J13)*$D$2</f>
        <v>241.77469103951023</v>
      </c>
      <c r="L29" s="147">
        <f>input!$E$64*((1+input!$I$64)^result!K13)*$D$2</f>
        <v>245.40131140510286</v>
      </c>
      <c r="M29" s="147">
        <f>input!$E$64*((1+input!$I$64)^result!L13)*$D$2</f>
        <v>249.08233107617934</v>
      </c>
      <c r="N29" s="147">
        <f>input!$E$64*((1+input!$I$64)^result!M13)*$D$2</f>
        <v>252.818566042322</v>
      </c>
      <c r="O29" s="147">
        <f>input!$E$64*((1+input!$I$64)^result!N13)*$D$2</f>
        <v>256.61084453295683</v>
      </c>
      <c r="P29" s="147">
        <f>input!$E$64*((1+input!$I$64)^result!O13)*$D$2</f>
        <v>260.4600072009511</v>
      </c>
      <c r="Q29" s="147">
        <f>input!$E$64*((1+input!$I$64)^result!P13)*$D$2</f>
        <v>264.3669073089654</v>
      </c>
      <c r="R29" s="147">
        <f>input!$E$64*((1+input!$I$64)^result!Q13)*$D$2</f>
        <v>268.3324109185998</v>
      </c>
      <c r="S29" s="147">
        <f>input!$E$64*((1+input!$I$64)^result!R13)*$D$2</f>
        <v>272.3573970823787</v>
      </c>
      <c r="T29" s="147">
        <f>input!$E$64*((1+input!$I$64)^result!S13)*$D$2</f>
        <v>276.44275803861444</v>
      </c>
      <c r="U29" s="147">
        <f>input!$E$64*((1+input!$I$64)^result!T13)*$D$2</f>
        <v>280.58939940919356</v>
      </c>
      <c r="V29" s="147">
        <f>input!$E$64*((1+input!$I$64)^result!U13)*$D$2</f>
        <v>284.79824040033145</v>
      </c>
      <c r="W29" s="147">
        <f>input!$E$64*((1+input!$I$64)^result!V13)*$D$2</f>
        <v>289.07021400633636</v>
      </c>
      <c r="X29" s="147">
        <f>input!$E$64*((1+input!$I$64)^result!W13)*$D$2</f>
        <v>293.4062672164314</v>
      </c>
      <c r="Y29" s="147">
        <f>input!$E$64*((1+input!$I$64)^result!X13)*$D$2</f>
        <v>297.80736122467783</v>
      </c>
      <c r="Z29" s="231">
        <f>input!$E$64*((1+input!$I$64)^result!Y13)*$D$2</f>
        <v>302.27447164304795</v>
      </c>
      <c r="AA29" s="147">
        <f>input!$E$64*((1+input!$I$64)^result!Z13)*$D$2</f>
        <v>306.80858871769357</v>
      </c>
      <c r="AB29" s="147">
        <f>input!$E$64*((1+input!$I$64)^result!AA13)*$D$2</f>
        <v>311.41071754845893</v>
      </c>
      <c r="AC29" s="147">
        <f>input!$E$64*((1+input!$I$64)^result!AB13)*$D$2</f>
        <v>316.0818783116858</v>
      </c>
      <c r="AD29" s="147">
        <f>input!$E$64*((1+input!$I$64)^result!AC13)*$D$2</f>
        <v>320.82310648636104</v>
      </c>
      <c r="AE29" s="147">
        <f>input!$E$64*((1+input!$I$64)^result!AD13)*$D$2</f>
        <v>325.6354530836564</v>
      </c>
      <c r="AF29" s="147"/>
      <c r="AG29" s="233">
        <f>SUM($G$29:$AE$29)</f>
        <v>6639.432303921159</v>
      </c>
      <c r="AH29" s="167"/>
      <c r="AI29" s="167"/>
      <c r="AJ29" s="167"/>
      <c r="AK29" s="167"/>
      <c r="AL29" s="167"/>
      <c r="AM29" s="167"/>
      <c r="AN29" s="167"/>
      <c r="AO29" s="167"/>
      <c r="AP29" s="167"/>
      <c r="AQ29" s="167"/>
      <c r="AR29" s="167"/>
      <c r="AS29" s="167"/>
      <c r="AT29" s="167"/>
      <c r="AU29" s="167"/>
      <c r="AV29" s="167"/>
      <c r="AW29" s="167"/>
      <c r="AX29" s="167"/>
      <c r="AY29" s="167"/>
      <c r="AZ29" s="167"/>
    </row>
    <row r="30" spans="2:52" ht="12.75">
      <c r="B30" s="168"/>
      <c r="C30" s="232" t="s">
        <v>50</v>
      </c>
      <c r="D30" s="147" t="s">
        <v>189</v>
      </c>
      <c r="E30" s="147"/>
      <c r="F30" s="147"/>
      <c r="G30" s="147">
        <f>((input!$E$65*$D$2)/12*input!H8)</f>
        <v>83.33333333333333</v>
      </c>
      <c r="H30" s="147">
        <f>(input!$E$65*((1+input!$I$65)^result!G13)*$D$2)</f>
        <v>1025</v>
      </c>
      <c r="I30" s="147">
        <f>(input!$E$65*((1+input!$I$65)^result!H13)*$D$2)</f>
        <v>1050.625</v>
      </c>
      <c r="J30" s="147">
        <f>(input!$E$65*((1+input!$I$65)^result!I13)*$D$2)</f>
        <v>1076.8906249999998</v>
      </c>
      <c r="K30" s="147">
        <f>(input!$E$65*((1+input!$I$65)^result!J13)*$D$2)</f>
        <v>1103.8128906249997</v>
      </c>
      <c r="L30" s="147">
        <f>(input!$E$65*((1+input!$I$65)^result!K13)*$D$2)</f>
        <v>1131.4082128906246</v>
      </c>
      <c r="M30" s="147">
        <f>(input!$E$65*((1+input!$I$65)^result!L13)*$D$2)</f>
        <v>1159.6934182128903</v>
      </c>
      <c r="N30" s="147">
        <f>(input!$E$65*((1+input!$I$65)^result!M13)*$D$2)</f>
        <v>1188.6857536682126</v>
      </c>
      <c r="O30" s="147">
        <f>(input!$E$65*((1+input!$I$65)^result!N13)*$D$2)</f>
        <v>1218.4028975099177</v>
      </c>
      <c r="P30" s="147">
        <f>(input!$E$65*((1+input!$I$65)^result!O13)*$D$2)</f>
        <v>1248.8629699476655</v>
      </c>
      <c r="Q30" s="147">
        <f>(input!$E$65*((1+input!$I$65)^result!P13)*$D$2)</f>
        <v>1280.084544196357</v>
      </c>
      <c r="R30" s="147">
        <f>(input!$E$65*((1+input!$I$65)^result!Q13)*$D$2)</f>
        <v>1312.086657801266</v>
      </c>
      <c r="S30" s="147">
        <f>(input!$E$65*((1+input!$I$65)^result!R13)*$D$2)</f>
        <v>1344.8888242462974</v>
      </c>
      <c r="T30" s="147">
        <f>(input!$E$65*((1+input!$I$65)^result!S13)*$D$2)</f>
        <v>1378.511044852455</v>
      </c>
      <c r="U30" s="147">
        <f>(input!$E$65*((1+input!$I$65)^result!T13)*$D$2)</f>
        <v>1412.9738209737661</v>
      </c>
      <c r="V30" s="147">
        <f>(input!$E$65*((1+input!$I$65)^result!U13)*$D$2)</f>
        <v>1448.2981664981105</v>
      </c>
      <c r="W30" s="147">
        <f>(input!$E$65*((1+input!$I$65)^result!V13)*$D$2)</f>
        <v>1484.5056206605632</v>
      </c>
      <c r="X30" s="147">
        <f>(input!$E$65*((1+input!$I$65)^result!W13)*$D$2)</f>
        <v>1521.618261177077</v>
      </c>
      <c r="Y30" s="147">
        <f>(input!$E$65*((1+input!$I$65)^result!X13)*$D$2)</f>
        <v>1559.658717706504</v>
      </c>
      <c r="Z30" s="147">
        <f>(input!$E$65*((1+input!$I$65)^result!Y13)*$D$2)</f>
        <v>1598.6501856491666</v>
      </c>
      <c r="AA30" s="147">
        <f>(input!$E$65*((1+input!$I$65)^result!Z13)*$D$2)</f>
        <v>1638.6164402903955</v>
      </c>
      <c r="AB30" s="147">
        <f>(input!$E$65*((1+input!$I$65)^result!AA13)*$D$2)</f>
        <v>1679.5818512976552</v>
      </c>
      <c r="AC30" s="147">
        <f>(input!$E$65*((1+input!$I$65)^result!AB13)*$D$2)</f>
        <v>1721.5713975800966</v>
      </c>
      <c r="AD30" s="147">
        <f>(input!$E$65*((1+input!$I$65)^result!AC13)*$D$2)</f>
        <v>1764.610682519599</v>
      </c>
      <c r="AE30" s="147">
        <f>(input!$E$65*((1+input!$I$65)^result!AD13)*$D$2)</f>
        <v>1808.725949582589</v>
      </c>
      <c r="AF30" s="234"/>
      <c r="AG30" s="233">
        <f>SUM($G$30:$AE$30)</f>
        <v>33241.09726621954</v>
      </c>
      <c r="AH30" s="167"/>
      <c r="AI30" s="167"/>
      <c r="AJ30" s="167"/>
      <c r="AK30" s="167"/>
      <c r="AL30" s="167"/>
      <c r="AM30" s="167"/>
      <c r="AN30" s="167"/>
      <c r="AO30" s="167"/>
      <c r="AP30" s="167"/>
      <c r="AQ30" s="167"/>
      <c r="AR30" s="167"/>
      <c r="AS30" s="167"/>
      <c r="AT30" s="167"/>
      <c r="AU30" s="167"/>
      <c r="AV30" s="167"/>
      <c r="AW30" s="167"/>
      <c r="AX30" s="167"/>
      <c r="AY30" s="167"/>
      <c r="AZ30" s="167"/>
    </row>
    <row r="31" spans="2:52" ht="12" customHeight="1">
      <c r="B31" s="168"/>
      <c r="C31" s="232" t="s">
        <v>51</v>
      </c>
      <c r="D31" s="147" t="s">
        <v>190</v>
      </c>
      <c r="E31" s="147"/>
      <c r="F31" s="147"/>
      <c r="G31" s="147">
        <f>(SUM(input!$E$57:$E$58)*$D$2)/12*input!H8</f>
        <v>1613.5571333574233</v>
      </c>
      <c r="H31" s="147">
        <f>(input!$E$57*$D$2*((1+input!$I$57)^result!G13))+(input!$E$58*$D$2*((1+input!$I$58)^result!G13))</f>
        <v>19653.12588429341</v>
      </c>
      <c r="I31" s="147">
        <f>(input!$E$57*$D$2*((1+input!$I$57)^result!H13))+(input!$E$58*$D$2*((1+input!$I$58)^result!H13))</f>
        <v>19947.922772557813</v>
      </c>
      <c r="J31" s="147">
        <f>(input!$E$57*$D$2*((1+input!$I$57)^result!I13))+(input!$E$58*$D$2*((1+input!$I$58)^result!I13))</f>
        <v>20247.141614146174</v>
      </c>
      <c r="K31" s="147">
        <f>(input!$E$57*$D$2*((1+input!$I$57)^result!J13))+(input!$E$58*$D$2*((1+input!$I$58)^result!J13))</f>
        <v>20550.848738358363</v>
      </c>
      <c r="L31" s="147">
        <f>(input!$E$57*$D$2*((1+input!$I$57)^result!K13))+(input!$E$58*$D$2*((1+input!$I$58)^result!K13))</f>
        <v>20859.111469433738</v>
      </c>
      <c r="M31" s="147">
        <f>(input!$E$57*$D$2*((1+input!$I$57)^result!L13))+(input!$E$58*$D$2*((1+input!$I$58)^result!L13))</f>
        <v>21171.99814147524</v>
      </c>
      <c r="N31" s="147">
        <f>(input!$E$57*$D$2*((1+input!$I$57)^result!M13))+(input!$E$58*$D$2*((1+input!$I$58)^result!M13))</f>
        <v>21489.578113597367</v>
      </c>
      <c r="O31" s="147">
        <f>(input!$E$57*$D$2*((1+input!$I$57)^result!N13))+(input!$E$58*$D$2*((1+input!$I$58)^result!N13))</f>
        <v>21811.92178530132</v>
      </c>
      <c r="P31" s="147">
        <f>(input!$E$57*$D$2*((1+input!$I$57)^result!O13))+(input!$E$58*$D$2*((1+input!$I$58)^result!O13))</f>
        <v>22139.10061208084</v>
      </c>
      <c r="Q31" s="147">
        <f>(input!$E$57*$D$2*((1+input!$I$57)^result!P13))+(input!$E$58*$D$2*((1+input!$I$58)^result!P13))</f>
        <v>22471.187121262054</v>
      </c>
      <c r="R31" s="147">
        <f>(input!$E$57*$D$2*((1+input!$I$57)^result!Q13))+(input!$E$58*$D$2*((1+input!$I$58)^result!Q13))</f>
        <v>22808.25492808098</v>
      </c>
      <c r="S31" s="147">
        <f>(input!$E$57*$D$2*((1+input!$I$57)^result!R13))+(input!$E$58*$D$2*((1+input!$I$58)^result!R13))</f>
        <v>23150.378752002187</v>
      </c>
      <c r="T31" s="147">
        <f>(input!$E$57*$D$2*((1+input!$I$57)^result!S13))+(input!$E$58*$D$2*((1+input!$I$58)^result!S13))</f>
        <v>23497.63443328222</v>
      </c>
      <c r="U31" s="147">
        <f>(input!$E$57*$D$2*((1+input!$I$57)^result!T13))+(input!$E$58*$D$2*((1+input!$I$58)^result!T13))</f>
        <v>23850.098949781444</v>
      </c>
      <c r="V31" s="147">
        <f>(input!$E$57*$D$2*((1+input!$I$57)^result!U13))+(input!$E$58*$D$2*((1+input!$I$58)^result!U13))</f>
        <v>24207.850434028165</v>
      </c>
      <c r="W31" s="147">
        <f>(input!$E$57*$D$2*((1+input!$I$57)^result!V13))+(input!$E$58*$D$2*((1+input!$I$58)^result!V13))</f>
        <v>24570.968190538588</v>
      </c>
      <c r="X31" s="147">
        <f>(input!$E$57*$D$2*((1+input!$I$57)^result!W13))+(input!$E$58*$D$2*((1+input!$I$58)^result!W13))</f>
        <v>24939.53271339666</v>
      </c>
      <c r="Y31" s="147">
        <f>(input!$E$57*$D$2*((1+input!$I$57)^result!X13))+(input!$E$58*$D$2*((1+input!$I$58)^result!X13))</f>
        <v>25313.62570409761</v>
      </c>
      <c r="Z31" s="231">
        <f>(input!$E$57*$D$2*((1+input!$I$57)^result!Y13))+(input!$E$58*$D$2*((1+input!$I$58)^result!Y13))</f>
        <v>25693.33008965907</v>
      </c>
      <c r="AA31" s="147">
        <f>(input!$E$57*$D$2*((1+input!$I$57)^result!Z13))+(input!$E$58*$D$2*((1+input!$I$58)^result!Z13))</f>
        <v>26078.730041003946</v>
      </c>
      <c r="AB31" s="147">
        <f>(input!$E$57*$D$2*((1+input!$I$57)^result!AA13))+(input!$E$58*$D$2*((1+input!$I$58)^result!AA13))</f>
        <v>26469.910991619006</v>
      </c>
      <c r="AC31" s="147">
        <f>(input!$E$57*$D$2*((1+input!$I$57)^result!AB13))+(input!$E$58*$D$2*((1+input!$I$58)^result!AB13))</f>
        <v>26866.959656493287</v>
      </c>
      <c r="AD31" s="147">
        <f>(input!$E$57*$D$2*((1+input!$I$57)^result!AC13))+(input!$E$58*$D$2*((1+input!$I$58)^result!AC13))</f>
        <v>27269.96405134068</v>
      </c>
      <c r="AE31" s="147">
        <f>(input!$E$57*$D$2*((1+input!$I$57)^result!AD13))+(input!$E$58*$D$2*((1+input!$I$58)^result!AD13))</f>
        <v>27679.01351211079</v>
      </c>
      <c r="AF31" s="147"/>
      <c r="AG31" s="233">
        <f>SUM($G$31:$AE$31)</f>
        <v>564351.7458332983</v>
      </c>
      <c r="AH31" s="167"/>
      <c r="AI31" s="167"/>
      <c r="AJ31" s="167"/>
      <c r="AK31" s="167"/>
      <c r="AL31" s="167"/>
      <c r="AM31" s="167"/>
      <c r="AN31" s="167"/>
      <c r="AO31" s="167"/>
      <c r="AP31" s="167"/>
      <c r="AQ31" s="167"/>
      <c r="AR31" s="167"/>
      <c r="AS31" s="167"/>
      <c r="AT31" s="167"/>
      <c r="AU31" s="167"/>
      <c r="AV31" s="167"/>
      <c r="AW31" s="167"/>
      <c r="AX31" s="167"/>
      <c r="AY31" s="167"/>
      <c r="AZ31" s="167"/>
    </row>
    <row r="32" spans="2:34" ht="13.5" customHeight="1">
      <c r="B32" s="168"/>
      <c r="C32" s="232" t="s">
        <v>16</v>
      </c>
      <c r="D32" s="147" t="s">
        <v>165</v>
      </c>
      <c r="E32" s="147"/>
      <c r="F32" s="147"/>
      <c r="G32" s="147">
        <f>((input!$E$66*$D$2)/12*input!H8)</f>
        <v>0</v>
      </c>
      <c r="H32" s="147">
        <f>(input!$E$66*((1+input!$I$66)^result!H13)*$D$2)</f>
        <v>0</v>
      </c>
      <c r="I32" s="147">
        <f>(input!$E$66*((1+input!$I$66)^result!I13)*$D$2)</f>
        <v>0</v>
      </c>
      <c r="J32" s="147">
        <f>(input!$E$66*((1+input!$I$66)^result!J13)*$D$2)</f>
        <v>0</v>
      </c>
      <c r="K32" s="147">
        <f>(input!$E$66*((1+input!$I$66)^result!K13)*$D$2)</f>
        <v>0</v>
      </c>
      <c r="L32" s="147">
        <f>(input!$E$66*((1+input!$I$66)^result!L13)*$D$2)</f>
        <v>0</v>
      </c>
      <c r="M32" s="147">
        <f>(input!$E$66*((1+input!$I$66)^result!M13)*$D$2)</f>
        <v>0</v>
      </c>
      <c r="N32" s="147">
        <f>(input!$E$66*((1+input!$I$66)^result!N13)*$D$2)</f>
        <v>0</v>
      </c>
      <c r="O32" s="147">
        <f>(input!$E$66*((1+input!$I$66)^result!O13)*$D$2)</f>
        <v>0</v>
      </c>
      <c r="P32" s="147">
        <f>(input!$E$66*((1+input!$I$66)^result!P13)*$D$2)</f>
        <v>0</v>
      </c>
      <c r="Q32" s="147">
        <f>(input!$E$66*((1+input!$I$66)^result!Q13)*$D$2)</f>
        <v>0</v>
      </c>
      <c r="R32" s="147">
        <f>(input!$E$66*((1+input!$I$66)^result!R13)*$D$2)</f>
        <v>0</v>
      </c>
      <c r="S32" s="147">
        <f>(input!$E$66*((1+input!$I$66)^result!S13)*$D$2)</f>
        <v>0</v>
      </c>
      <c r="T32" s="147">
        <f>(input!$E$66*((1+input!$I$66)^result!T13)*$D$2)</f>
        <v>0</v>
      </c>
      <c r="U32" s="147">
        <f>(input!$E$66*((1+input!$I$66)^result!U13)*$D$2)</f>
        <v>0</v>
      </c>
      <c r="V32" s="147">
        <f>(input!$E$66*((1+input!$I$66)^result!V13)*$D$2)</f>
        <v>0</v>
      </c>
      <c r="W32" s="147">
        <f>(input!$E$66*((1+input!$I$66)^result!W13)*$D$2)</f>
        <v>0</v>
      </c>
      <c r="X32" s="147">
        <f>(input!$E$66*((1+input!$I$66)^result!X13)*$D$2)</f>
        <v>0</v>
      </c>
      <c r="Y32" s="147">
        <f>(input!$E$66*((1+input!$I$66)^result!Y13)*$D$2)</f>
        <v>0</v>
      </c>
      <c r="Z32" s="147">
        <f>(input!$E$66*((1+input!$I$66)^result!Z13)*$D$2)</f>
        <v>0</v>
      </c>
      <c r="AA32" s="147">
        <f>(input!$E$66*((1+input!$I$66)^result!AA13)*$D$2)</f>
        <v>0</v>
      </c>
      <c r="AB32" s="147">
        <f>(input!$E$66*((1+input!$I$66)^result!AB13)*$D$2)</f>
        <v>0</v>
      </c>
      <c r="AC32" s="147">
        <f>(input!$E$66*((1+input!$I$66)^result!AC13)*$D$2)</f>
        <v>0</v>
      </c>
      <c r="AD32" s="147">
        <f>(input!$E$66*((1+input!$I$66)^result!AD13)*$D$2)</f>
        <v>0</v>
      </c>
      <c r="AE32" s="147">
        <f>(input!$E$66*((1+input!$I$66)^result!AE13)*$D$2)</f>
        <v>0</v>
      </c>
      <c r="AF32" s="147"/>
      <c r="AG32" s="233">
        <f>SUM($G$32:$AE$32)</f>
        <v>0</v>
      </c>
      <c r="AH32" s="167"/>
    </row>
    <row r="33" spans="2:34" ht="13.5" customHeight="1">
      <c r="B33" s="168"/>
      <c r="C33" s="232" t="s">
        <v>17</v>
      </c>
      <c r="D33" s="147" t="s">
        <v>191</v>
      </c>
      <c r="E33" s="219"/>
      <c r="F33" s="219"/>
      <c r="G33" s="234">
        <f>(input!E68)/12*input!H8</f>
        <v>0</v>
      </c>
      <c r="H33" s="234">
        <f aca="true" t="shared" si="4" ref="H33:Z33">G33</f>
        <v>0</v>
      </c>
      <c r="I33" s="234">
        <f t="shared" si="4"/>
        <v>0</v>
      </c>
      <c r="J33" s="234">
        <f t="shared" si="4"/>
        <v>0</v>
      </c>
      <c r="K33" s="234">
        <f t="shared" si="4"/>
        <v>0</v>
      </c>
      <c r="L33" s="234">
        <f t="shared" si="4"/>
        <v>0</v>
      </c>
      <c r="M33" s="234">
        <f t="shared" si="4"/>
        <v>0</v>
      </c>
      <c r="N33" s="234">
        <f t="shared" si="4"/>
        <v>0</v>
      </c>
      <c r="O33" s="234">
        <f t="shared" si="4"/>
        <v>0</v>
      </c>
      <c r="P33" s="234">
        <f t="shared" si="4"/>
        <v>0</v>
      </c>
      <c r="Q33" s="234">
        <f t="shared" si="4"/>
        <v>0</v>
      </c>
      <c r="R33" s="234">
        <f t="shared" si="4"/>
        <v>0</v>
      </c>
      <c r="S33" s="234">
        <f t="shared" si="4"/>
        <v>0</v>
      </c>
      <c r="T33" s="234">
        <f t="shared" si="4"/>
        <v>0</v>
      </c>
      <c r="U33" s="234">
        <f t="shared" si="4"/>
        <v>0</v>
      </c>
      <c r="V33" s="234">
        <f t="shared" si="4"/>
        <v>0</v>
      </c>
      <c r="W33" s="234">
        <f t="shared" si="4"/>
        <v>0</v>
      </c>
      <c r="X33" s="234">
        <f t="shared" si="4"/>
        <v>0</v>
      </c>
      <c r="Y33" s="234">
        <f t="shared" si="4"/>
        <v>0</v>
      </c>
      <c r="Z33" s="231">
        <f t="shared" si="4"/>
        <v>0</v>
      </c>
      <c r="AA33" s="234">
        <f>Z33</f>
        <v>0</v>
      </c>
      <c r="AB33" s="234">
        <f>AA33</f>
        <v>0</v>
      </c>
      <c r="AC33" s="234">
        <f>AB33</f>
        <v>0</v>
      </c>
      <c r="AD33" s="234">
        <f>AC33</f>
        <v>0</v>
      </c>
      <c r="AE33" s="234">
        <f>AD33</f>
        <v>0</v>
      </c>
      <c r="AF33" s="234"/>
      <c r="AG33" s="233">
        <f>SUM($G$33:$AE$33)</f>
        <v>0</v>
      </c>
      <c r="AH33" s="167"/>
    </row>
    <row r="34" spans="2:52" ht="13.5" customHeight="1">
      <c r="B34" s="168"/>
      <c r="C34" s="232" t="s">
        <v>52</v>
      </c>
      <c r="D34" s="147" t="s">
        <v>192</v>
      </c>
      <c r="E34" s="219"/>
      <c r="F34" s="219"/>
      <c r="G34" s="234">
        <f>(input!E69)/12*input!H8</f>
        <v>94.91512549161314</v>
      </c>
      <c r="H34" s="147">
        <f>input!$E$69*((1+input!$I$69)^(H13-1))</f>
        <v>1138.9815058993577</v>
      </c>
      <c r="I34" s="147">
        <f>input!$E$69*((1+input!$I$69)^(I13-1))</f>
        <v>1138.9815058993577</v>
      </c>
      <c r="J34" s="147">
        <f>input!$E$69*((1+input!$I$69)^(J13-1))</f>
        <v>1138.9815058993577</v>
      </c>
      <c r="K34" s="147">
        <f>input!$E$69*((1+input!$I$69)^(K13-1))</f>
        <v>1138.9815058993577</v>
      </c>
      <c r="L34" s="147">
        <f>input!$E$69*((1+input!$I$69)^(L13-1))</f>
        <v>1138.9815058993577</v>
      </c>
      <c r="M34" s="147">
        <f>input!$E$69*((1+input!$I$69)^(M13-1))</f>
        <v>1138.9815058993577</v>
      </c>
      <c r="N34" s="147">
        <f>input!$E$69*((1+input!$I$69)^(N13-1))</f>
        <v>1138.9815058993577</v>
      </c>
      <c r="O34" s="147">
        <f>input!$E$69*((1+input!$I$69)^(O13-1))</f>
        <v>1138.9815058993577</v>
      </c>
      <c r="P34" s="147">
        <f>input!$E$69*((1+input!$I$69)^(P13-1))</f>
        <v>1138.9815058993577</v>
      </c>
      <c r="Q34" s="147">
        <f>input!$E$69*((1+input!$I$69)^(Q13-1))</f>
        <v>1138.9815058993577</v>
      </c>
      <c r="R34" s="147">
        <f>input!$E$69*((1+input!$I$69)^(R13-1))</f>
        <v>1138.9815058993577</v>
      </c>
      <c r="S34" s="147">
        <f>input!$E$69*((1+input!$I$69)^(S13-1))</f>
        <v>1138.9815058993577</v>
      </c>
      <c r="T34" s="147">
        <f>input!$E$69*((1+input!$I$69)^(T13-1))</f>
        <v>1138.9815058993577</v>
      </c>
      <c r="U34" s="147">
        <f>input!$E$69*((1+input!$I$69)^(U13-1))</f>
        <v>1138.9815058993577</v>
      </c>
      <c r="V34" s="147">
        <f>input!$E$69*((1+input!$I$69)^(V13-1))</f>
        <v>1138.9815058993577</v>
      </c>
      <c r="W34" s="147">
        <f>input!$E$69*((1+input!$I$69)^(W13-1))</f>
        <v>1138.9815058993577</v>
      </c>
      <c r="X34" s="147">
        <f>input!$E$69*((1+input!$I$69)^(X13-1))</f>
        <v>1138.9815058993577</v>
      </c>
      <c r="Y34" s="147">
        <f>input!$E$69*((1+input!$I$69)^(Y13-1))</f>
        <v>1138.9815058993577</v>
      </c>
      <c r="Z34" s="231">
        <f>input!$E$69*((1+input!$I$69)^(Z13-1))</f>
        <v>1138.9815058993577</v>
      </c>
      <c r="AA34" s="147">
        <f>input!$E$69*((1+input!$I$69)^(AA13-1))</f>
        <v>1138.9815058993577</v>
      </c>
      <c r="AB34" s="147">
        <f>input!$E$69*((1+input!$I$69)^(AB13-1))</f>
        <v>1138.9815058993577</v>
      </c>
      <c r="AC34" s="147">
        <f>input!$E$69*((1+input!$I$69)^(AC13-1))</f>
        <v>1138.9815058993577</v>
      </c>
      <c r="AD34" s="147">
        <f>input!$E$69*((1+input!$I$69)^(AD13-1))</f>
        <v>1138.9815058993577</v>
      </c>
      <c r="AE34" s="147">
        <f>input!$E$69*((1+input!$I$69)^(AE13-1))</f>
        <v>1138.9815058993577</v>
      </c>
      <c r="AF34" s="147"/>
      <c r="AG34" s="233">
        <f>SUM($G$34:$AE$34)</f>
        <v>27430.471267076206</v>
      </c>
      <c r="AH34" s="167"/>
      <c r="AI34" s="167"/>
      <c r="AJ34" s="167"/>
      <c r="AK34" s="167"/>
      <c r="AL34" s="167"/>
      <c r="AM34" s="167"/>
      <c r="AN34" s="167"/>
      <c r="AO34" s="167"/>
      <c r="AP34" s="167"/>
      <c r="AQ34" s="167"/>
      <c r="AR34" s="167"/>
      <c r="AS34" s="167"/>
      <c r="AT34" s="167"/>
      <c r="AU34" s="167"/>
      <c r="AV34" s="167"/>
      <c r="AW34" s="167"/>
      <c r="AX34" s="167"/>
      <c r="AY34" s="167"/>
      <c r="AZ34" s="167"/>
    </row>
    <row r="35" spans="2:52" ht="14.25" customHeight="1">
      <c r="B35" s="168"/>
      <c r="C35" s="232" t="s">
        <v>18</v>
      </c>
      <c r="D35" s="147" t="str">
        <f>input!C70</f>
        <v>N.N.</v>
      </c>
      <c r="E35" s="219"/>
      <c r="F35" s="219"/>
      <c r="G35" s="147">
        <f>(input!E70)/12*input!H8</f>
        <v>0</v>
      </c>
      <c r="H35" s="147">
        <f>input!$E$70*((1+input!$I$70)^(H13-1))</f>
        <v>0</v>
      </c>
      <c r="I35" s="147">
        <f>input!$E$70*((1+input!$I$70)^(I13-1))</f>
        <v>0</v>
      </c>
      <c r="J35" s="147">
        <f>input!$E$70*((1+input!$I$70)^(J13-1))</f>
        <v>0</v>
      </c>
      <c r="K35" s="147">
        <f>input!$E$70*((1+input!$I$70)^(K13-1))</f>
        <v>0</v>
      </c>
      <c r="L35" s="147">
        <f>input!$E$70*((1+input!$I$70)^(L13-1))</f>
        <v>0</v>
      </c>
      <c r="M35" s="147">
        <f>input!$E$70*((1+input!$I$70)^(M13-1))</f>
        <v>0</v>
      </c>
      <c r="N35" s="147">
        <f>input!$E$70*((1+input!$I$70)^(N13-1))</f>
        <v>0</v>
      </c>
      <c r="O35" s="147">
        <f>input!$E$70*((1+input!$I$70)^(O13-1))</f>
        <v>0</v>
      </c>
      <c r="P35" s="147">
        <f>input!$E$70*((1+input!$I$70)^(P13-1))</f>
        <v>0</v>
      </c>
      <c r="Q35" s="147">
        <f>input!$E$70*((1+input!$I$70)^(Q13-1))</f>
        <v>0</v>
      </c>
      <c r="R35" s="147">
        <f>input!$E$70*((1+input!$I$70)^(R13-1))</f>
        <v>0</v>
      </c>
      <c r="S35" s="147">
        <f>input!$E$70*((1+input!$I$70)^(S13-1))</f>
        <v>0</v>
      </c>
      <c r="T35" s="147">
        <f>input!$E$70*((1+input!$I$70)^(T13-1))</f>
        <v>0</v>
      </c>
      <c r="U35" s="147">
        <f>input!$E$70*((1+input!$I$70)^(U13-1))</f>
        <v>0</v>
      </c>
      <c r="V35" s="147">
        <f>input!$E$70*((1+input!$I$70)^(V13-1))</f>
        <v>0</v>
      </c>
      <c r="W35" s="147">
        <f>input!$E$70*((1+input!$I$70)^(W13-1))</f>
        <v>0</v>
      </c>
      <c r="X35" s="147">
        <f>input!$E$70*((1+input!$I$70)^(X13-1))</f>
        <v>0</v>
      </c>
      <c r="Y35" s="147">
        <f>input!$E$70*((1+input!$I$70)^(Y13-1))</f>
        <v>0</v>
      </c>
      <c r="Z35" s="231">
        <f>input!$E$70*((1+input!$I$70)^(Z13-1))</f>
        <v>0</v>
      </c>
      <c r="AA35" s="147">
        <f>input!$E$70*((1+input!$I$70)^(AA13-1))</f>
        <v>0</v>
      </c>
      <c r="AB35" s="147">
        <f>input!$E$70*((1+input!$I$70)^(AB13-1))</f>
        <v>0</v>
      </c>
      <c r="AC35" s="147">
        <f>input!$E$70*((1+input!$I$70)^(AC13-1))</f>
        <v>0</v>
      </c>
      <c r="AD35" s="147">
        <f>input!$E$70*((1+input!$I$70)^(AD13-1))</f>
        <v>0</v>
      </c>
      <c r="AE35" s="147">
        <f>input!$E$70*((1+input!$I$70)^(AE13-1))</f>
        <v>0</v>
      </c>
      <c r="AF35" s="147"/>
      <c r="AG35" s="233">
        <f>SUM(G35:AE35)</f>
        <v>0</v>
      </c>
      <c r="AH35" s="167"/>
      <c r="AI35" s="167"/>
      <c r="AJ35" s="167"/>
      <c r="AK35" s="167"/>
      <c r="AL35" s="167"/>
      <c r="AM35" s="167"/>
      <c r="AN35" s="167"/>
      <c r="AO35" s="167"/>
      <c r="AP35" s="167"/>
      <c r="AQ35" s="167"/>
      <c r="AR35" s="167"/>
      <c r="AS35" s="167"/>
      <c r="AT35" s="167"/>
      <c r="AU35" s="167"/>
      <c r="AV35" s="167"/>
      <c r="AW35" s="167"/>
      <c r="AX35" s="167"/>
      <c r="AY35" s="167"/>
      <c r="AZ35" s="167"/>
    </row>
    <row r="36" spans="2:52" ht="14.25" customHeight="1">
      <c r="B36" s="168"/>
      <c r="C36" s="232" t="s">
        <v>19</v>
      </c>
      <c r="D36" s="147" t="str">
        <f>input!C71</f>
        <v>N.N.</v>
      </c>
      <c r="E36" s="219"/>
      <c r="F36" s="219"/>
      <c r="G36" s="147">
        <f>(input!E71)/12*input!H9</f>
        <v>0</v>
      </c>
      <c r="H36" s="147">
        <f>input!$E$71*((1+input!$I$71)^(H13-1))</f>
        <v>0</v>
      </c>
      <c r="I36" s="147">
        <f>input!$E$71*((1+input!$I$71)^(I13-1))</f>
        <v>0</v>
      </c>
      <c r="J36" s="147">
        <f>input!$E$71*((1+input!$I$71)^(J13-1))</f>
        <v>0</v>
      </c>
      <c r="K36" s="147">
        <f>input!$E$71*((1+input!$I$71)^(K13-1))</f>
        <v>0</v>
      </c>
      <c r="L36" s="147">
        <f>input!$E$71*((1+input!$I$71)^(L13-1))</f>
        <v>0</v>
      </c>
      <c r="M36" s="147">
        <f>input!$E$71*((1+input!$I$71)^(M13-1))</f>
        <v>0</v>
      </c>
      <c r="N36" s="147">
        <f>input!$E$71*((1+input!$I$71)^(N13-1))</f>
        <v>0</v>
      </c>
      <c r="O36" s="147">
        <f>input!$E$71*((1+input!$I$71)^(O13-1))</f>
        <v>0</v>
      </c>
      <c r="P36" s="147">
        <f>input!$E$71*((1+input!$I$71)^(P13-1))</f>
        <v>0</v>
      </c>
      <c r="Q36" s="147">
        <f>input!$E$71*((1+input!$I$71)^(Q13-1))</f>
        <v>0</v>
      </c>
      <c r="R36" s="147">
        <f>input!$E$71*((1+input!$I$71)^(R13-1))</f>
        <v>0</v>
      </c>
      <c r="S36" s="147">
        <f>input!$E$71*((1+input!$I$71)^(S13-1))</f>
        <v>0</v>
      </c>
      <c r="T36" s="147">
        <f>input!$E$71*((1+input!$I$71)^(T13-1))</f>
        <v>0</v>
      </c>
      <c r="U36" s="147">
        <f>input!$E$71*((1+input!$I$71)^(U13-1))</f>
        <v>0</v>
      </c>
      <c r="V36" s="147">
        <f>input!$E$71*((1+input!$I$71)^(V13-1))</f>
        <v>0</v>
      </c>
      <c r="W36" s="147">
        <f>input!$E$71*((1+input!$I$71)^(W13-1))</f>
        <v>0</v>
      </c>
      <c r="X36" s="147">
        <f>input!$E$71*((1+input!$I$71)^(X13-1))</f>
        <v>0</v>
      </c>
      <c r="Y36" s="147">
        <f>input!$E$71*((1+input!$I$71)^(Y13-1))</f>
        <v>0</v>
      </c>
      <c r="Z36" s="231">
        <f>input!$E$71*((1+input!$I$71)^(Z13-1))</f>
        <v>0</v>
      </c>
      <c r="AA36" s="147">
        <f>input!$E$71*((1+input!$I$71)^(AA13-1))</f>
        <v>0</v>
      </c>
      <c r="AB36" s="147">
        <f>input!$E$71*((1+input!$I$71)^(AB13-1))</f>
        <v>0</v>
      </c>
      <c r="AC36" s="147">
        <f>input!$E$71*((1+input!$I$71)^(AC13-1))</f>
        <v>0</v>
      </c>
      <c r="AD36" s="147">
        <f>input!$E$71*((1+input!$I$71)^(AD13-1))</f>
        <v>0</v>
      </c>
      <c r="AE36" s="147">
        <f>input!$E$71*((1+input!$I$71)^(AE13-1))</f>
        <v>0</v>
      </c>
      <c r="AF36" s="147"/>
      <c r="AG36" s="233">
        <f>SUM(G36:AE36)</f>
        <v>0</v>
      </c>
      <c r="AH36" s="167"/>
      <c r="AI36" s="167"/>
      <c r="AJ36" s="167"/>
      <c r="AK36" s="167"/>
      <c r="AL36" s="167"/>
      <c r="AM36" s="167"/>
      <c r="AN36" s="167"/>
      <c r="AO36" s="167"/>
      <c r="AP36" s="167"/>
      <c r="AQ36" s="167"/>
      <c r="AR36" s="167"/>
      <c r="AS36" s="167"/>
      <c r="AT36" s="167"/>
      <c r="AU36" s="167"/>
      <c r="AV36" s="167"/>
      <c r="AW36" s="167"/>
      <c r="AX36" s="167"/>
      <c r="AY36" s="167"/>
      <c r="AZ36" s="167"/>
    </row>
    <row r="37" spans="2:52" ht="14.25" customHeight="1">
      <c r="B37" s="168"/>
      <c r="C37" s="232" t="s">
        <v>20</v>
      </c>
      <c r="D37" s="147" t="str">
        <f>input!C72</f>
        <v>N.N.</v>
      </c>
      <c r="E37" s="219"/>
      <c r="F37" s="219"/>
      <c r="G37" s="147">
        <f>(input!E72)/12*input!H10</f>
        <v>0</v>
      </c>
      <c r="H37" s="147">
        <f>input!$E$72*((1+input!$I$72)^(H13-1))</f>
        <v>0</v>
      </c>
      <c r="I37" s="147">
        <f>input!$E$72*((1+input!$I$72)^(I13-1))</f>
        <v>0</v>
      </c>
      <c r="J37" s="147">
        <f>input!$E$72*((1+input!$I$72)^(J13-1))</f>
        <v>0</v>
      </c>
      <c r="K37" s="147">
        <f>input!$E$72*((1+input!$I$72)^(K13-1))</f>
        <v>0</v>
      </c>
      <c r="L37" s="147">
        <f>input!$E$72*((1+input!$I$72)^(L13-1))</f>
        <v>0</v>
      </c>
      <c r="M37" s="147">
        <f>input!$E$72*((1+input!$I$72)^(M13-1))</f>
        <v>0</v>
      </c>
      <c r="N37" s="147">
        <f>input!$E$72*((1+input!$I$72)^(N13-1))</f>
        <v>0</v>
      </c>
      <c r="O37" s="147">
        <f>input!$E$72*((1+input!$I$72)^(O13-1))</f>
        <v>0</v>
      </c>
      <c r="P37" s="147">
        <f>input!$E$72*((1+input!$I$72)^(P13-1))</f>
        <v>0</v>
      </c>
      <c r="Q37" s="147">
        <f>input!$E$72*((1+input!$I$72)^(Q13-1))</f>
        <v>0</v>
      </c>
      <c r="R37" s="147">
        <f>input!$E$72*((1+input!$I$72)^(R13-1))</f>
        <v>0</v>
      </c>
      <c r="S37" s="147">
        <f>input!$E$72*((1+input!$I$72)^(S13-1))</f>
        <v>0</v>
      </c>
      <c r="T37" s="147">
        <f>input!$E$72*((1+input!$I$72)^(T13-1))</f>
        <v>0</v>
      </c>
      <c r="U37" s="147">
        <f>input!$E$72*((1+input!$I$72)^(U13-1))</f>
        <v>0</v>
      </c>
      <c r="V37" s="147">
        <f>input!$E$72*((1+input!$I$72)^(V13-1))</f>
        <v>0</v>
      </c>
      <c r="W37" s="147">
        <f>input!$E$72*((1+input!$I$72)^(W13-1))</f>
        <v>0</v>
      </c>
      <c r="X37" s="147">
        <f>input!$E$72*((1+input!$I$72)^(X13-1))</f>
        <v>0</v>
      </c>
      <c r="Y37" s="147">
        <f>input!$E$72*((1+input!$I$72)^(Y13-1))</f>
        <v>0</v>
      </c>
      <c r="Z37" s="231">
        <f>input!$E$72*((1+input!$I$72)^(Z13-1))</f>
        <v>0</v>
      </c>
      <c r="AA37" s="147">
        <f>input!$E$72*((1+input!$I$72)^(AA13-1))</f>
        <v>0</v>
      </c>
      <c r="AB37" s="147">
        <f>input!$E$72*((1+input!$I$72)^(AB13-1))</f>
        <v>0</v>
      </c>
      <c r="AC37" s="147">
        <f>input!$E$72*((1+input!$I$72)^(AC13-1))</f>
        <v>0</v>
      </c>
      <c r="AD37" s="147">
        <f>input!$E$72*((1+input!$I$72)^(AD13-1))</f>
        <v>0</v>
      </c>
      <c r="AE37" s="147">
        <f>input!$E$72*((1+input!$I$72)^(AE13-1))</f>
        <v>0</v>
      </c>
      <c r="AF37" s="147"/>
      <c r="AG37" s="233">
        <f>SUM(G37:AE37)</f>
        <v>0</v>
      </c>
      <c r="AH37" s="167"/>
      <c r="AI37" s="167"/>
      <c r="AJ37" s="167"/>
      <c r="AK37" s="167"/>
      <c r="AL37" s="167"/>
      <c r="AM37" s="167"/>
      <c r="AN37" s="167"/>
      <c r="AO37" s="167"/>
      <c r="AP37" s="167"/>
      <c r="AQ37" s="167"/>
      <c r="AR37" s="167"/>
      <c r="AS37" s="167"/>
      <c r="AT37" s="167"/>
      <c r="AU37" s="167"/>
      <c r="AV37" s="167"/>
      <c r="AW37" s="167"/>
      <c r="AX37" s="167"/>
      <c r="AY37" s="167"/>
      <c r="AZ37" s="167"/>
    </row>
    <row r="38" spans="2:52" ht="12.75" customHeight="1">
      <c r="B38" s="168"/>
      <c r="C38" s="232" t="s">
        <v>72</v>
      </c>
      <c r="D38" s="147" t="s">
        <v>155</v>
      </c>
      <c r="E38" s="219"/>
      <c r="F38" s="219"/>
      <c r="G38" s="147">
        <f>SUM(G25:G34)</f>
        <v>7594.407146777481</v>
      </c>
      <c r="H38" s="147">
        <f aca="true" t="shared" si="5" ref="H38:AG38">SUM(H25:H34)</f>
        <v>53301.45163193188</v>
      </c>
      <c r="I38" s="147">
        <f t="shared" si="5"/>
        <v>54075.682776770234</v>
      </c>
      <c r="J38" s="147">
        <f t="shared" si="5"/>
        <v>54861.64312528767</v>
      </c>
      <c r="K38" s="147">
        <f t="shared" si="5"/>
        <v>55659.517950702015</v>
      </c>
      <c r="L38" s="147">
        <f t="shared" si="5"/>
        <v>56469.49566802654</v>
      </c>
      <c r="M38" s="147">
        <f t="shared" si="5"/>
        <v>57291.767892860415</v>
      </c>
      <c r="N38" s="147">
        <f t="shared" si="5"/>
        <v>58126.52950140469</v>
      </c>
      <c r="O38" s="147">
        <f t="shared" si="5"/>
        <v>58973.97869173184</v>
      </c>
      <c r="P38" s="147">
        <f t="shared" si="5"/>
        <v>59834.317046337586</v>
      </c>
      <c r="Q38" s="147">
        <f t="shared" si="5"/>
        <v>60707.74959600457</v>
      </c>
      <c r="R38" s="147">
        <f t="shared" si="5"/>
        <v>61594.484885007536</v>
      </c>
      <c r="S38" s="147">
        <f t="shared" si="5"/>
        <v>62494.735037691455</v>
      </c>
      <c r="T38" s="147">
        <f t="shared" si="5"/>
        <v>63408.71582645377</v>
      </c>
      <c r="U38" s="147">
        <f t="shared" si="5"/>
        <v>64336.64674116344</v>
      </c>
      <c r="V38" s="147">
        <f t="shared" si="5"/>
        <v>65278.751060049624</v>
      </c>
      <c r="W38" s="147">
        <f t="shared" si="5"/>
        <v>66235.2559220944</v>
      </c>
      <c r="X38" s="147">
        <f t="shared" si="5"/>
        <v>67206.39240096392</v>
      </c>
      <c r="Y38" s="147">
        <f t="shared" si="5"/>
        <v>68192.39558051417</v>
      </c>
      <c r="Z38" s="147">
        <f t="shared" si="5"/>
        <v>69193.50463190727</v>
      </c>
      <c r="AA38" s="147">
        <f t="shared" si="5"/>
        <v>70209.96289237628</v>
      </c>
      <c r="AB38" s="147">
        <f t="shared" si="5"/>
        <v>71242.01794567678</v>
      </c>
      <c r="AC38" s="147">
        <f t="shared" si="5"/>
        <v>72289.92170426415</v>
      </c>
      <c r="AD38" s="147">
        <f t="shared" si="5"/>
        <v>73353.93049323748</v>
      </c>
      <c r="AE38" s="147">
        <f t="shared" si="5"/>
        <v>74434.30513609077</v>
      </c>
      <c r="AF38" s="147">
        <f>SUM(AF25:AF34)</f>
        <v>0</v>
      </c>
      <c r="AG38" s="147">
        <f t="shared" si="5"/>
        <v>1526367.561285326</v>
      </c>
      <c r="AH38" s="167"/>
      <c r="AI38" s="167"/>
      <c r="AJ38" s="167"/>
      <c r="AK38" s="167"/>
      <c r="AL38" s="167"/>
      <c r="AM38" s="167"/>
      <c r="AN38" s="167"/>
      <c r="AO38" s="167"/>
      <c r="AP38" s="167"/>
      <c r="AQ38" s="167"/>
      <c r="AR38" s="167"/>
      <c r="AS38" s="167"/>
      <c r="AT38" s="167"/>
      <c r="AU38" s="167"/>
      <c r="AV38" s="167"/>
      <c r="AW38" s="167"/>
      <c r="AX38" s="167"/>
      <c r="AY38" s="167"/>
      <c r="AZ38" s="167"/>
    </row>
    <row r="39" spans="2:52" ht="14.25" customHeight="1">
      <c r="B39" s="168"/>
      <c r="C39" s="232" t="s">
        <v>21</v>
      </c>
      <c r="D39" s="147" t="str">
        <f>input!C73</f>
        <v>N.N.</v>
      </c>
      <c r="E39" s="219"/>
      <c r="F39" s="219"/>
      <c r="G39" s="147">
        <f>(input!E73)/12*input!H11</f>
        <v>0</v>
      </c>
      <c r="H39" s="147">
        <f>input!$E$73*((1+input!$I$73)^(H13-1))</f>
        <v>0</v>
      </c>
      <c r="I39" s="147">
        <f>input!$E$73*((1+input!$I$73)^(I13-1))</f>
        <v>0</v>
      </c>
      <c r="J39" s="147">
        <f>input!$E$73*((1+input!$I$73)^(J13-1))</f>
        <v>0</v>
      </c>
      <c r="K39" s="147">
        <f>input!$E$73*((1+input!$I$73)^(K13-1))</f>
        <v>0</v>
      </c>
      <c r="L39" s="147">
        <f>input!$E$73*((1+input!$I$73)^(L13-1))</f>
        <v>0</v>
      </c>
      <c r="M39" s="147">
        <f>input!$E$73*((1+input!$I$73)^(M13-1))</f>
        <v>0</v>
      </c>
      <c r="N39" s="147">
        <f>input!$E$73*((1+input!$I$73)^(N13-1))</f>
        <v>0</v>
      </c>
      <c r="O39" s="147">
        <f>input!$E$73*((1+input!$I$73)^(O13-1))</f>
        <v>0</v>
      </c>
      <c r="P39" s="147">
        <f>input!$E$73*((1+input!$I$73)^(P13-1))</f>
        <v>0</v>
      </c>
      <c r="Q39" s="147">
        <f>input!$E$73*((1+input!$I$73)^(Q13-1))</f>
        <v>0</v>
      </c>
      <c r="R39" s="147">
        <f>input!$E$73*((1+input!$I$73)^(R13-1))</f>
        <v>0</v>
      </c>
      <c r="S39" s="147">
        <f>input!$E$73*((1+input!$I$73)^(S13-1))</f>
        <v>0</v>
      </c>
      <c r="T39" s="147">
        <f>input!$E$73*((1+input!$I$73)^(T13-1))</f>
        <v>0</v>
      </c>
      <c r="U39" s="147">
        <f>input!$E$73*((1+input!$I$73)^(U13-1))</f>
        <v>0</v>
      </c>
      <c r="V39" s="147">
        <f>input!$E$73*((1+input!$I$73)^(V13-1))</f>
        <v>0</v>
      </c>
      <c r="W39" s="147">
        <f>input!$E$73*((1+input!$I$73)^(W13-1))</f>
        <v>0</v>
      </c>
      <c r="X39" s="147">
        <f>input!$E$73*((1+input!$I$73)^(X13-1))</f>
        <v>0</v>
      </c>
      <c r="Y39" s="147">
        <f>input!$E$73*((1+input!$I$73)^(Y13-1))</f>
        <v>0</v>
      </c>
      <c r="Z39" s="231">
        <f>input!$E$73*((1+input!$I$73)^(Z13-1))</f>
        <v>0</v>
      </c>
      <c r="AA39" s="147">
        <f>input!$E$73*((1+input!$I$73)^(AA13-1))</f>
        <v>0</v>
      </c>
      <c r="AB39" s="147">
        <f>input!$E$73*((1+input!$I$73)^(AB13-1))</f>
        <v>0</v>
      </c>
      <c r="AC39" s="147">
        <f>input!$E$73*((1+input!$I$73)^(AC13-1))</f>
        <v>0</v>
      </c>
      <c r="AD39" s="147">
        <f>input!$E$73*((1+input!$I$73)^(AD13-1))</f>
        <v>0</v>
      </c>
      <c r="AE39" s="147">
        <f>input!$E$73*((1+input!$I$73)^(AE13-1))</f>
        <v>0</v>
      </c>
      <c r="AF39" s="147"/>
      <c r="AG39" s="233">
        <f>SUM(G39:AE39)</f>
        <v>0</v>
      </c>
      <c r="AH39" s="167"/>
      <c r="AI39" s="167"/>
      <c r="AJ39" s="167"/>
      <c r="AK39" s="167"/>
      <c r="AL39" s="167"/>
      <c r="AM39" s="167"/>
      <c r="AN39" s="167"/>
      <c r="AO39" s="167"/>
      <c r="AP39" s="167"/>
      <c r="AQ39" s="167"/>
      <c r="AR39" s="167"/>
      <c r="AS39" s="167"/>
      <c r="AT39" s="167"/>
      <c r="AU39" s="167"/>
      <c r="AV39" s="167"/>
      <c r="AW39" s="167"/>
      <c r="AX39" s="167"/>
      <c r="AY39" s="167"/>
      <c r="AZ39" s="167"/>
    </row>
    <row r="40" spans="2:52" ht="13.5" thickBot="1">
      <c r="B40" s="168"/>
      <c r="C40" s="189" t="s">
        <v>193</v>
      </c>
      <c r="D40" s="190"/>
      <c r="E40" s="190"/>
      <c r="F40" s="190"/>
      <c r="G40" s="190">
        <f>SUM(G23:G34)</f>
        <v>7594.407146777481</v>
      </c>
      <c r="H40" s="190">
        <f aca="true" t="shared" si="6" ref="H40:AG40">SUM(H23:H34)</f>
        <v>53301.45163193188</v>
      </c>
      <c r="I40" s="190">
        <f t="shared" si="6"/>
        <v>54075.682776770234</v>
      </c>
      <c r="J40" s="190">
        <f t="shared" si="6"/>
        <v>54861.64312528767</v>
      </c>
      <c r="K40" s="190">
        <f t="shared" si="6"/>
        <v>55659.517950702015</v>
      </c>
      <c r="L40" s="190">
        <f t="shared" si="6"/>
        <v>56469.49566802654</v>
      </c>
      <c r="M40" s="190">
        <f t="shared" si="6"/>
        <v>57291.767892860415</v>
      </c>
      <c r="N40" s="190">
        <f t="shared" si="6"/>
        <v>58126.52950140469</v>
      </c>
      <c r="O40" s="190">
        <f t="shared" si="6"/>
        <v>58973.97869173184</v>
      </c>
      <c r="P40" s="190">
        <f t="shared" si="6"/>
        <v>59834.317046337586</v>
      </c>
      <c r="Q40" s="190">
        <f t="shared" si="6"/>
        <v>60707.74959600457</v>
      </c>
      <c r="R40" s="190">
        <f t="shared" si="6"/>
        <v>61594.484885007536</v>
      </c>
      <c r="S40" s="190">
        <f t="shared" si="6"/>
        <v>62494.735037691455</v>
      </c>
      <c r="T40" s="190">
        <f t="shared" si="6"/>
        <v>63408.71582645377</v>
      </c>
      <c r="U40" s="190">
        <f t="shared" si="6"/>
        <v>64336.64674116344</v>
      </c>
      <c r="V40" s="190">
        <f t="shared" si="6"/>
        <v>65278.751060049624</v>
      </c>
      <c r="W40" s="190">
        <f t="shared" si="6"/>
        <v>66235.2559220944</v>
      </c>
      <c r="X40" s="190">
        <f t="shared" si="6"/>
        <v>67206.39240096392</v>
      </c>
      <c r="Y40" s="190">
        <f t="shared" si="6"/>
        <v>68192.39558051417</v>
      </c>
      <c r="Z40" s="190">
        <f t="shared" si="6"/>
        <v>69193.50463190727</v>
      </c>
      <c r="AA40" s="190">
        <f t="shared" si="6"/>
        <v>70209.96289237628</v>
      </c>
      <c r="AB40" s="190">
        <f t="shared" si="6"/>
        <v>71242.01794567678</v>
      </c>
      <c r="AC40" s="190">
        <f t="shared" si="6"/>
        <v>72289.92170426415</v>
      </c>
      <c r="AD40" s="190">
        <f t="shared" si="6"/>
        <v>73353.93049323748</v>
      </c>
      <c r="AE40" s="190">
        <f t="shared" si="6"/>
        <v>74434.30513609077</v>
      </c>
      <c r="AF40" s="190">
        <f t="shared" si="6"/>
        <v>0</v>
      </c>
      <c r="AG40" s="190">
        <f t="shared" si="6"/>
        <v>1526367.561285326</v>
      </c>
      <c r="AH40" s="167"/>
      <c r="AI40" s="167"/>
      <c r="AJ40" s="167"/>
      <c r="AK40" s="167"/>
      <c r="AL40" s="167"/>
      <c r="AM40" s="167"/>
      <c r="AN40" s="167"/>
      <c r="AO40" s="167"/>
      <c r="AP40" s="167"/>
      <c r="AQ40" s="167"/>
      <c r="AR40" s="167"/>
      <c r="AS40" s="167"/>
      <c r="AT40" s="167"/>
      <c r="AU40" s="167"/>
      <c r="AV40" s="167"/>
      <c r="AW40" s="167"/>
      <c r="AX40" s="167"/>
      <c r="AY40" s="167"/>
      <c r="AZ40" s="167"/>
    </row>
    <row r="41" spans="2:52" ht="13.5" customHeight="1">
      <c r="B41" s="168"/>
      <c r="C41" s="227"/>
      <c r="D41" s="211"/>
      <c r="E41" s="210"/>
      <c r="F41" s="210"/>
      <c r="G41" s="210"/>
      <c r="H41" s="210"/>
      <c r="I41" s="210"/>
      <c r="J41" s="210"/>
      <c r="K41" s="210"/>
      <c r="L41" s="210"/>
      <c r="M41" s="210"/>
      <c r="N41" s="210"/>
      <c r="O41" s="210"/>
      <c r="P41" s="210"/>
      <c r="Q41" s="210"/>
      <c r="R41" s="210"/>
      <c r="S41" s="210"/>
      <c r="T41" s="210"/>
      <c r="U41" s="210"/>
      <c r="V41" s="210"/>
      <c r="W41" s="210"/>
      <c r="X41" s="210"/>
      <c r="Y41" s="210"/>
      <c r="Z41" s="235"/>
      <c r="AA41" s="210"/>
      <c r="AB41" s="210"/>
      <c r="AC41" s="210"/>
      <c r="AD41" s="210"/>
      <c r="AE41" s="210"/>
      <c r="AF41" s="210"/>
      <c r="AG41" s="236"/>
      <c r="AH41" s="167"/>
      <c r="AI41" s="167"/>
      <c r="AJ41" s="167"/>
      <c r="AK41" s="167"/>
      <c r="AL41" s="167"/>
      <c r="AM41" s="167"/>
      <c r="AN41" s="167"/>
      <c r="AO41" s="167"/>
      <c r="AP41" s="167"/>
      <c r="AQ41" s="167"/>
      <c r="AR41" s="167"/>
      <c r="AS41" s="167"/>
      <c r="AT41" s="167"/>
      <c r="AU41" s="167"/>
      <c r="AV41" s="167"/>
      <c r="AW41" s="167"/>
      <c r="AX41" s="167"/>
      <c r="AY41" s="167"/>
      <c r="AZ41" s="167"/>
    </row>
    <row r="42" spans="2:52" ht="12.75">
      <c r="B42" s="168"/>
      <c r="C42" s="230" t="s">
        <v>194</v>
      </c>
      <c r="D42" s="147"/>
      <c r="E42" s="147"/>
      <c r="F42" s="147"/>
      <c r="G42" s="147"/>
      <c r="H42" s="147"/>
      <c r="I42" s="147"/>
      <c r="J42" s="147"/>
      <c r="K42" s="147"/>
      <c r="L42" s="147"/>
      <c r="M42" s="147"/>
      <c r="N42" s="147"/>
      <c r="O42" s="147"/>
      <c r="P42" s="147"/>
      <c r="Q42" s="147"/>
      <c r="R42" s="147"/>
      <c r="S42" s="147"/>
      <c r="T42" s="147"/>
      <c r="U42" s="147"/>
      <c r="V42" s="147"/>
      <c r="W42" s="147"/>
      <c r="X42" s="147"/>
      <c r="Y42" s="147"/>
      <c r="Z42" s="231"/>
      <c r="AA42" s="147"/>
      <c r="AB42" s="147"/>
      <c r="AC42" s="147"/>
      <c r="AD42" s="147"/>
      <c r="AE42" s="147"/>
      <c r="AF42" s="147"/>
      <c r="AG42" s="233"/>
      <c r="AH42" s="167"/>
      <c r="AI42" s="167"/>
      <c r="AJ42" s="167"/>
      <c r="AK42" s="167"/>
      <c r="AL42" s="167"/>
      <c r="AM42" s="167"/>
      <c r="AN42" s="167"/>
      <c r="AO42" s="167"/>
      <c r="AP42" s="167"/>
      <c r="AQ42" s="167"/>
      <c r="AR42" s="167"/>
      <c r="AS42" s="167"/>
      <c r="AT42" s="167"/>
      <c r="AU42" s="167"/>
      <c r="AV42" s="167"/>
      <c r="AW42" s="167"/>
      <c r="AX42" s="167"/>
      <c r="AY42" s="167"/>
      <c r="AZ42" s="167"/>
    </row>
    <row r="43" spans="2:52" ht="12.75">
      <c r="B43" s="168"/>
      <c r="C43" s="237" t="s">
        <v>195</v>
      </c>
      <c r="D43" s="234"/>
      <c r="E43" s="234"/>
      <c r="F43" s="234"/>
      <c r="G43" s="234">
        <f>G20-G40</f>
        <v>1276.6928532225193</v>
      </c>
      <c r="H43" s="234">
        <f aca="true" t="shared" si="7" ref="H43:Z43">H20-H40</f>
        <v>52619.482368068144</v>
      </c>
      <c r="I43" s="234">
        <f t="shared" si="7"/>
        <v>52891.11399327975</v>
      </c>
      <c r="J43" s="234">
        <f t="shared" si="7"/>
        <v>53155.80461022109</v>
      </c>
      <c r="K43" s="234">
        <f t="shared" si="7"/>
        <v>53413.22195620159</v>
      </c>
      <c r="L43" s="234">
        <f t="shared" si="7"/>
        <v>53663.02402923423</v>
      </c>
      <c r="M43" s="234">
        <f t="shared" si="7"/>
        <v>53904.85884209983</v>
      </c>
      <c r="N43" s="234">
        <f t="shared" si="7"/>
        <v>54138.364170608496</v>
      </c>
      <c r="O43" s="234">
        <f t="shared" si="7"/>
        <v>54363.16729592587</v>
      </c>
      <c r="P43" s="234">
        <f t="shared" si="7"/>
        <v>54578.88474082884</v>
      </c>
      <c r="Q43" s="234">
        <f t="shared" si="7"/>
        <v>54785.12199975286</v>
      </c>
      <c r="R43" s="234">
        <f t="shared" si="7"/>
        <v>54981.473262489046</v>
      </c>
      <c r="S43" s="234">
        <f t="shared" si="7"/>
        <v>55167.5211313873</v>
      </c>
      <c r="T43" s="234">
        <f t="shared" si="7"/>
        <v>55342.83633191693</v>
      </c>
      <c r="U43" s="234">
        <f t="shared" si="7"/>
        <v>55506.97741643476</v>
      </c>
      <c r="V43" s="234">
        <f t="shared" si="7"/>
        <v>55659.49046100524</v>
      </c>
      <c r="W43" s="234">
        <f t="shared" si="7"/>
        <v>55799.90875511595</v>
      </c>
      <c r="X43" s="234">
        <f t="shared" si="7"/>
        <v>55927.75248412602</v>
      </c>
      <c r="Y43" s="234">
        <f t="shared" si="7"/>
        <v>56042.52840428335</v>
      </c>
      <c r="Z43" s="233">
        <f t="shared" si="7"/>
        <v>56143.72951014154</v>
      </c>
      <c r="AA43" s="234">
        <f>AA20-AA40</f>
        <v>56230.83469420443</v>
      </c>
      <c r="AB43" s="234">
        <f>AB20-AB40</f>
        <v>56303.308398621826</v>
      </c>
      <c r="AC43" s="234">
        <f>AC20-AC40</f>
        <v>56360.60025875602</v>
      </c>
      <c r="AD43" s="234">
        <f>AD20-AD40</f>
        <v>56402.1447384355</v>
      </c>
      <c r="AE43" s="234">
        <f>AE20-AE40</f>
        <v>56427.36075670687</v>
      </c>
      <c r="AF43" s="234"/>
      <c r="AG43" s="233">
        <f>SUM($G$43:$AE$43)</f>
        <v>1321086.2034630682</v>
      </c>
      <c r="AH43" s="167"/>
      <c r="AI43" s="185"/>
      <c r="AJ43" s="167"/>
      <c r="AK43" s="167"/>
      <c r="AL43" s="167"/>
      <c r="AM43" s="183"/>
      <c r="AN43" s="167"/>
      <c r="AO43" s="167"/>
      <c r="AP43" s="167"/>
      <c r="AQ43" s="167"/>
      <c r="AR43" s="167"/>
      <c r="AS43" s="167"/>
      <c r="AT43" s="167"/>
      <c r="AU43" s="167"/>
      <c r="AV43" s="167"/>
      <c r="AW43" s="167"/>
      <c r="AX43" s="167"/>
      <c r="AY43" s="167"/>
      <c r="AZ43" s="167"/>
    </row>
    <row r="44" spans="2:52" ht="12.75">
      <c r="B44" s="168"/>
      <c r="C44" s="238" t="s">
        <v>53</v>
      </c>
      <c r="D44" s="147" t="s">
        <v>197</v>
      </c>
      <c r="E44" s="147"/>
      <c r="F44" s="147"/>
      <c r="G44" s="147">
        <f>IF(input!$M$7="Darlehen",G24,0)</f>
        <v>0</v>
      </c>
      <c r="H44" s="147">
        <f>IF(input!$M$7="Darlehen",H24,0)</f>
        <v>0</v>
      </c>
      <c r="I44" s="147">
        <f>IF(input!$M$7="Darlehen",I24,0)</f>
        <v>0</v>
      </c>
      <c r="J44" s="147">
        <f>IF(input!$M$7="Darlehen",J24,0)</f>
        <v>0</v>
      </c>
      <c r="K44" s="147">
        <f>IF(input!$M$7="Darlehen",K24,0)</f>
        <v>0</v>
      </c>
      <c r="L44" s="147">
        <f>IF(input!$M$7="Darlehen",L24,0)</f>
        <v>0</v>
      </c>
      <c r="M44" s="147">
        <f>IF(input!$M$7="Darlehen",M24,0)</f>
        <v>0</v>
      </c>
      <c r="N44" s="147">
        <f>IF(input!$M$7="Darlehen",N24,0)</f>
        <v>0</v>
      </c>
      <c r="O44" s="147">
        <f>IF(input!$M$7="Darlehen",O24,0)</f>
        <v>0</v>
      </c>
      <c r="P44" s="147">
        <f>IF(input!$M$7="Darlehen",P24,0)</f>
        <v>0</v>
      </c>
      <c r="Q44" s="147">
        <f>IF(input!$M$7="Darlehen",Q24,SUM(result!Q23:Q24))</f>
        <v>0</v>
      </c>
      <c r="R44" s="147">
        <f>IF(input!$M$7="Darlehen",R24,SUM(result!R23:R24))</f>
        <v>0</v>
      </c>
      <c r="S44" s="147">
        <f>IF(input!$M$7="Darlehen",S24,SUM(result!S23:S24))</f>
        <v>0</v>
      </c>
      <c r="T44" s="147">
        <f>IF(input!$M$7="Darlehen",T24,SUM(result!T23:T24))</f>
        <v>0</v>
      </c>
      <c r="U44" s="147">
        <f>IF(input!$M$7="Darlehen",U24,SUM(result!U23:U24))</f>
        <v>0</v>
      </c>
      <c r="V44" s="147">
        <f>IF(input!$M$7="Darlehen",V24,SUM(result!V23:V24))</f>
        <v>0</v>
      </c>
      <c r="W44" s="147">
        <f>IF(input!$M$7="Darlehen",W24,SUM(result!W23:W24))</f>
        <v>0</v>
      </c>
      <c r="X44" s="147">
        <f>IF(input!$M$7="Darlehen",X24,SUM(result!X23:X24))</f>
        <v>0</v>
      </c>
      <c r="Y44" s="147">
        <f>IF(input!$M$7="Darlehen",Y24,SUM(result!Y23:Y24))</f>
        <v>0</v>
      </c>
      <c r="Z44" s="231">
        <f>IF(input!$M$7="Darlehen",Z24,SUM(result!Z23:Z24))</f>
        <v>0</v>
      </c>
      <c r="AA44" s="147">
        <f>IF(input!$M$7="Darlehen",AA24,SUM(result!AA23:AA24))</f>
        <v>0</v>
      </c>
      <c r="AB44" s="147">
        <f>IF(input!$M$7="Darlehen",AB24,SUM(result!AB23:AB24))</f>
        <v>0</v>
      </c>
      <c r="AC44" s="147">
        <f>IF(input!$M$7="Darlehen",AC24,SUM(result!AC23:AC24))</f>
        <v>0</v>
      </c>
      <c r="AD44" s="147">
        <f>IF(input!$M$7="Darlehen",AD24,SUM(result!AD23:AD24))</f>
        <v>0</v>
      </c>
      <c r="AE44" s="147">
        <f>IF(input!$M$7="Darlehen",AE24,SUM(result!AE23:AE24))</f>
        <v>0</v>
      </c>
      <c r="AF44" s="147"/>
      <c r="AG44" s="231">
        <f>SUM($G$44:$AE$44)</f>
        <v>0</v>
      </c>
      <c r="AH44" s="167"/>
      <c r="AI44" s="165"/>
      <c r="AJ44" s="167"/>
      <c r="AK44" s="167"/>
      <c r="AL44" s="167"/>
      <c r="AM44" s="167"/>
      <c r="AN44" s="167"/>
      <c r="AO44" s="167"/>
      <c r="AP44" s="167"/>
      <c r="AQ44" s="167"/>
      <c r="AR44" s="167"/>
      <c r="AS44" s="167"/>
      <c r="AT44" s="167"/>
      <c r="AU44" s="167"/>
      <c r="AV44" s="167"/>
      <c r="AW44" s="167"/>
      <c r="AX44" s="167"/>
      <c r="AY44" s="167"/>
      <c r="AZ44" s="167"/>
    </row>
    <row r="45" spans="2:52" ht="12.75">
      <c r="B45" s="168"/>
      <c r="C45" s="238" t="s">
        <v>54</v>
      </c>
      <c r="D45" s="147" t="s">
        <v>196</v>
      </c>
      <c r="E45" s="147"/>
      <c r="F45" s="147"/>
      <c r="G45" s="147">
        <f>IF(input!$M$7="Leasing",0,IF(G13&lt;=input!$D$15,result!$H$108*$D$2/input!$D$15,0))</f>
        <v>49066.666666666664</v>
      </c>
      <c r="H45" s="147">
        <f>IF(input!$M$7="Leasing",0,IF(H13&lt;=input!$D$15,result!$H$108*$D$2/input!$D$15,0))</f>
        <v>49066.666666666664</v>
      </c>
      <c r="I45" s="147">
        <f>IF(input!$M$7="Leasing",0,IF(I13&lt;=input!$D$15,result!$H$108*$D$2/input!$D$15,0))</f>
        <v>49066.666666666664</v>
      </c>
      <c r="J45" s="147">
        <f>IF(input!$M$7="Leasing",0,IF(J13&lt;=input!$D$15,result!$H$108*$D$2/input!$D$15,0))</f>
        <v>49066.666666666664</v>
      </c>
      <c r="K45" s="147">
        <f>IF(input!$M$7="Leasing",0,IF(K13&lt;=input!$D$15,result!$H$108*$D$2/input!$D$15,0))</f>
        <v>49066.666666666664</v>
      </c>
      <c r="L45" s="147">
        <f>IF(input!$M$7="Leasing",0,IF(L13&lt;=input!$D$15,result!$H$108*$D$2/input!$D$15,0))</f>
        <v>49066.666666666664</v>
      </c>
      <c r="M45" s="147">
        <f>IF(input!$M$7="Leasing",0,IF(M13&lt;=input!$D$15,result!$H$108*$D$2/input!$D$15,0))</f>
        <v>49066.666666666664</v>
      </c>
      <c r="N45" s="147">
        <f>IF(input!$M$7="Leasing",0,IF(N13&lt;=input!$D$15,result!$H$108*$D$2/input!$D$15,0))</f>
        <v>49066.666666666664</v>
      </c>
      <c r="O45" s="147">
        <f>IF(input!$M$7="Leasing",0,IF(O13&lt;=input!$D$15,result!$H$108*$D$2/input!$D$15,0))</f>
        <v>49066.666666666664</v>
      </c>
      <c r="P45" s="147">
        <f>IF(input!$M$7="Leasing",0,IF(P13&lt;=input!$D$15,result!$H$108*$D$2/input!$D$15,0))</f>
        <v>49066.666666666664</v>
      </c>
      <c r="Q45" s="147">
        <f>IF(input!$M$7="Leasing",0,IF(Q13&lt;=input!$D$15,result!$H$108*$D$2/input!$D$15,0))</f>
        <v>49066.666666666664</v>
      </c>
      <c r="R45" s="147">
        <f>IF(input!$M$7="Leasing",0,IF(R13&lt;=input!$D$15,result!$H$108*$D$2/input!$D$15,0))</f>
        <v>49066.666666666664</v>
      </c>
      <c r="S45" s="147">
        <f>IF(input!$M$7="Leasing",0,IF(S13&lt;=input!$D$15,result!$H$108*$D$2/input!$D$15,0))</f>
        <v>49066.666666666664</v>
      </c>
      <c r="T45" s="147">
        <f>IF(input!$M$7="Leasing",0,IF(T13&lt;=input!$D$15,result!$H$108*$D$2/input!$D$15,0))</f>
        <v>49066.666666666664</v>
      </c>
      <c r="U45" s="147">
        <f>IF(input!$M$7="Leasing",0,IF(U13&lt;=input!$D$15,result!$H$108*$D$2/input!$D$15,0))</f>
        <v>49066.666666666664</v>
      </c>
      <c r="V45" s="147">
        <f>IF(input!$M$7="Leasing",0,IF(V13&lt;=input!$D$15,result!$H$108*$D$2/input!$D$15,0))</f>
        <v>0</v>
      </c>
      <c r="W45" s="147">
        <f>IF(input!$M$7="Leasing",0,IF(W13&lt;=input!$D$15,result!$H$108*$D$2/input!$D$15,0))</f>
        <v>0</v>
      </c>
      <c r="X45" s="147">
        <f>IF(input!$M$7="Leasing",0,IF(X13&lt;=input!$D$15,result!$H$108*$D$2/input!$D$15,0))</f>
        <v>0</v>
      </c>
      <c r="Y45" s="147">
        <f>IF(input!$M$7="Leasing",0,IF(Y13&lt;=input!$D$15,result!$H$108*$D$2/input!$D$15,0))</f>
        <v>0</v>
      </c>
      <c r="Z45" s="231">
        <f>IF(input!$M$7="Leasing",0,IF(Z13&lt;=input!$D$15,result!$H$108*$D$2/input!$D$15,0))</f>
        <v>0</v>
      </c>
      <c r="AA45" s="147">
        <f>IF(input!$M$7="Leasing",0,IF(AA13&lt;=input!$D$15,result!$H$108*$D$2/input!$D$15,0))</f>
        <v>0</v>
      </c>
      <c r="AB45" s="147">
        <f>IF(input!$M$7="Leasing",0,IF(AB13&lt;=input!$D$15,result!$H$108*$D$2/input!$D$15,0))</f>
        <v>0</v>
      </c>
      <c r="AC45" s="147">
        <f>IF(input!$M$7="Leasing",0,IF(AC13&lt;=input!$D$15,result!$H$108*$D$2/input!$D$15,0))</f>
        <v>0</v>
      </c>
      <c r="AD45" s="147">
        <f>IF(input!$M$7="Leasing",0,IF(AD13&lt;=input!$D$15,result!$H$108*$D$2/input!$D$15,0))</f>
        <v>0</v>
      </c>
      <c r="AE45" s="147">
        <f>IF(input!$M$7="Leasing",0,IF(AE13&lt;=input!$D$15,result!$H$108*$D$2/input!$D$15,0))</f>
        <v>0</v>
      </c>
      <c r="AF45" s="147"/>
      <c r="AG45" s="231">
        <f>SUM($G$45:$AE$45)</f>
        <v>735999.9999999999</v>
      </c>
      <c r="AH45" s="167"/>
      <c r="AI45" s="165"/>
      <c r="AJ45" s="167"/>
      <c r="AK45" s="167"/>
      <c r="AL45" s="167"/>
      <c r="AM45" s="167"/>
      <c r="AN45" s="167"/>
      <c r="AO45" s="167"/>
      <c r="AP45" s="167"/>
      <c r="AQ45" s="167"/>
      <c r="AR45" s="167"/>
      <c r="AS45" s="167"/>
      <c r="AT45" s="167"/>
      <c r="AU45" s="167"/>
      <c r="AV45" s="167"/>
      <c r="AW45" s="167"/>
      <c r="AX45" s="167"/>
      <c r="AY45" s="167"/>
      <c r="AZ45" s="167"/>
    </row>
    <row r="46" spans="2:52" ht="13.5" customHeight="1">
      <c r="B46" s="168"/>
      <c r="C46" s="238"/>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231"/>
      <c r="AH46" s="167"/>
      <c r="AI46" s="165"/>
      <c r="AJ46" s="167"/>
      <c r="AK46" s="167"/>
      <c r="AL46" s="167"/>
      <c r="AM46" s="167"/>
      <c r="AN46" s="167"/>
      <c r="AO46" s="167"/>
      <c r="AP46" s="167"/>
      <c r="AQ46" s="167"/>
      <c r="AR46" s="167"/>
      <c r="AS46" s="167"/>
      <c r="AT46" s="167"/>
      <c r="AU46" s="167"/>
      <c r="AV46" s="167"/>
      <c r="AW46" s="167"/>
      <c r="AX46" s="167"/>
      <c r="AY46" s="167"/>
      <c r="AZ46" s="167"/>
    </row>
    <row r="47" spans="2:52" ht="12.75">
      <c r="B47" s="168"/>
      <c r="C47" s="200" t="s">
        <v>208</v>
      </c>
      <c r="D47" s="201"/>
      <c r="E47" s="201"/>
      <c r="F47" s="201"/>
      <c r="G47" s="201">
        <f aca="true" t="shared" si="8" ref="G47:Z47">G43+G44-G45-G46</f>
        <v>-47789.97381344414</v>
      </c>
      <c r="H47" s="201">
        <f t="shared" si="8"/>
        <v>3552.8157014014796</v>
      </c>
      <c r="I47" s="201">
        <f t="shared" si="8"/>
        <v>3824.447326613088</v>
      </c>
      <c r="J47" s="201">
        <f t="shared" si="8"/>
        <v>4089.1379435544222</v>
      </c>
      <c r="K47" s="201">
        <f t="shared" si="8"/>
        <v>4346.555289534925</v>
      </c>
      <c r="L47" s="201">
        <f t="shared" si="8"/>
        <v>4596.3573625675635</v>
      </c>
      <c r="M47" s="201">
        <f t="shared" si="8"/>
        <v>4838.192175433163</v>
      </c>
      <c r="N47" s="201">
        <f t="shared" si="8"/>
        <v>5071.697503941832</v>
      </c>
      <c r="O47" s="201">
        <f t="shared" si="8"/>
        <v>5296.500629259208</v>
      </c>
      <c r="P47" s="201">
        <f t="shared" si="8"/>
        <v>5512.218074162178</v>
      </c>
      <c r="Q47" s="201">
        <f t="shared" si="8"/>
        <v>5718.455333086196</v>
      </c>
      <c r="R47" s="201">
        <f t="shared" si="8"/>
        <v>5914.8065958223815</v>
      </c>
      <c r="S47" s="201">
        <f t="shared" si="8"/>
        <v>6100.854464720636</v>
      </c>
      <c r="T47" s="201">
        <f t="shared" si="8"/>
        <v>6276.169665250265</v>
      </c>
      <c r="U47" s="201">
        <f t="shared" si="8"/>
        <v>6440.310749768098</v>
      </c>
      <c r="V47" s="201">
        <f t="shared" si="8"/>
        <v>55659.49046100524</v>
      </c>
      <c r="W47" s="201">
        <f t="shared" si="8"/>
        <v>55799.90875511595</v>
      </c>
      <c r="X47" s="201">
        <f t="shared" si="8"/>
        <v>55927.75248412602</v>
      </c>
      <c r="Y47" s="201">
        <f t="shared" si="8"/>
        <v>56042.52840428335</v>
      </c>
      <c r="Z47" s="205">
        <f t="shared" si="8"/>
        <v>56143.72951014154</v>
      </c>
      <c r="AA47" s="201">
        <f>AA43+AA44-AA45-AA46</f>
        <v>56230.83469420443</v>
      </c>
      <c r="AB47" s="201">
        <f>AB43+AB44-AB45-AB46</f>
        <v>56303.308398621826</v>
      </c>
      <c r="AC47" s="201">
        <f>AC43+AC44-AC45-AC46</f>
        <v>56360.60025875602</v>
      </c>
      <c r="AD47" s="201">
        <f>AD43+AD44-AD45-AD46</f>
        <v>56402.1447384355</v>
      </c>
      <c r="AE47" s="201">
        <f>AE43+AE44-AE45-AE46</f>
        <v>56427.36075670687</v>
      </c>
      <c r="AF47" s="201"/>
      <c r="AG47" s="205">
        <f>SUM($G$47:$AE$47)</f>
        <v>585086.203463068</v>
      </c>
      <c r="AH47" s="167"/>
      <c r="AI47" s="185">
        <f>SUM(G43:L43)</f>
        <v>267019.33981022733</v>
      </c>
      <c r="AJ47" s="167"/>
      <c r="AK47" s="167"/>
      <c r="AL47" s="167"/>
      <c r="AM47" s="167"/>
      <c r="AN47" s="167"/>
      <c r="AO47" s="167"/>
      <c r="AP47" s="167"/>
      <c r="AQ47" s="167"/>
      <c r="AR47" s="167"/>
      <c r="AS47" s="167"/>
      <c r="AT47" s="167"/>
      <c r="AU47" s="167"/>
      <c r="AV47" s="167"/>
      <c r="AW47" s="167"/>
      <c r="AX47" s="167"/>
      <c r="AY47" s="167"/>
      <c r="AZ47" s="167"/>
    </row>
    <row r="48" spans="2:35" ht="12.75">
      <c r="B48" s="168"/>
      <c r="C48" s="14" t="s">
        <v>57</v>
      </c>
      <c r="D48" s="6" t="s">
        <v>209</v>
      </c>
      <c r="E48" s="3"/>
      <c r="F48" s="3"/>
      <c r="G48" s="6">
        <f aca="true" t="shared" si="9" ref="G48:AC48">G96</f>
        <v>0</v>
      </c>
      <c r="H48" s="6">
        <f t="shared" si="9"/>
        <v>0</v>
      </c>
      <c r="I48" s="6">
        <f t="shared" si="9"/>
        <v>0</v>
      </c>
      <c r="J48" s="6">
        <f t="shared" si="9"/>
        <v>0</v>
      </c>
      <c r="K48" s="6">
        <f t="shared" si="9"/>
        <v>0</v>
      </c>
      <c r="L48" s="6">
        <f t="shared" si="9"/>
        <v>0</v>
      </c>
      <c r="M48" s="6">
        <f t="shared" si="9"/>
        <v>0</v>
      </c>
      <c r="N48" s="6">
        <f t="shared" si="9"/>
        <v>0</v>
      </c>
      <c r="O48" s="6">
        <f t="shared" si="9"/>
        <v>0</v>
      </c>
      <c r="P48" s="6">
        <f t="shared" si="9"/>
        <v>0</v>
      </c>
      <c r="Q48" s="6">
        <f t="shared" si="9"/>
        <v>0</v>
      </c>
      <c r="R48" s="6">
        <f t="shared" si="9"/>
        <v>1242.8025304830735</v>
      </c>
      <c r="S48" s="6">
        <f t="shared" si="9"/>
        <v>1525.213616180159</v>
      </c>
      <c r="T48" s="6">
        <f t="shared" si="9"/>
        <v>1569.0424163125663</v>
      </c>
      <c r="U48" s="6">
        <f t="shared" si="9"/>
        <v>1610.0776874420244</v>
      </c>
      <c r="V48" s="6">
        <f t="shared" si="9"/>
        <v>13914.87261525131</v>
      </c>
      <c r="W48" s="6">
        <f t="shared" si="9"/>
        <v>13949.977188778987</v>
      </c>
      <c r="X48" s="6">
        <f t="shared" si="9"/>
        <v>13981.938121031504</v>
      </c>
      <c r="Y48" s="6">
        <f t="shared" si="9"/>
        <v>14010.632101070838</v>
      </c>
      <c r="Z48" s="13">
        <f t="shared" si="9"/>
        <v>14035.932377535384</v>
      </c>
      <c r="AA48" s="6">
        <f t="shared" si="9"/>
        <v>14057.708673551107</v>
      </c>
      <c r="AB48" s="6">
        <f t="shared" si="9"/>
        <v>14075.827099655457</v>
      </c>
      <c r="AC48" s="6">
        <f t="shared" si="9"/>
        <v>14090.150064689005</v>
      </c>
      <c r="AD48" s="8">
        <f>AD96</f>
        <v>14100.536184608874</v>
      </c>
      <c r="AE48" s="8">
        <f>AE96</f>
        <v>14106.840189176717</v>
      </c>
      <c r="AI48" s="164">
        <f>AI47+G19</f>
        <v>384779.33981022733</v>
      </c>
    </row>
    <row r="49" spans="2:52" ht="12.75">
      <c r="B49" s="168"/>
      <c r="C49" s="200" t="s">
        <v>210</v>
      </c>
      <c r="D49" s="201"/>
      <c r="E49" s="201"/>
      <c r="F49" s="201"/>
      <c r="G49" s="201">
        <f aca="true" t="shared" si="10" ref="G49:AE49">G47-G48</f>
        <v>-47789.97381344414</v>
      </c>
      <c r="H49" s="201">
        <f t="shared" si="10"/>
        <v>3552.8157014014796</v>
      </c>
      <c r="I49" s="201">
        <f t="shared" si="10"/>
        <v>3824.447326613088</v>
      </c>
      <c r="J49" s="201">
        <f t="shared" si="10"/>
        <v>4089.1379435544222</v>
      </c>
      <c r="K49" s="201">
        <f t="shared" si="10"/>
        <v>4346.555289534925</v>
      </c>
      <c r="L49" s="201">
        <f t="shared" si="10"/>
        <v>4596.3573625675635</v>
      </c>
      <c r="M49" s="201">
        <f t="shared" si="10"/>
        <v>4838.192175433163</v>
      </c>
      <c r="N49" s="201">
        <f t="shared" si="10"/>
        <v>5071.697503941832</v>
      </c>
      <c r="O49" s="201">
        <f t="shared" si="10"/>
        <v>5296.500629259208</v>
      </c>
      <c r="P49" s="201">
        <f t="shared" si="10"/>
        <v>5512.218074162178</v>
      </c>
      <c r="Q49" s="201">
        <f t="shared" si="10"/>
        <v>5718.455333086196</v>
      </c>
      <c r="R49" s="201">
        <f t="shared" si="10"/>
        <v>4672.004065339308</v>
      </c>
      <c r="S49" s="201">
        <f t="shared" si="10"/>
        <v>4575.640848540477</v>
      </c>
      <c r="T49" s="201">
        <f t="shared" si="10"/>
        <v>4707.127248937699</v>
      </c>
      <c r="U49" s="201">
        <f t="shared" si="10"/>
        <v>4830.233062326073</v>
      </c>
      <c r="V49" s="201">
        <f t="shared" si="10"/>
        <v>41744.61784575393</v>
      </c>
      <c r="W49" s="201">
        <f t="shared" si="10"/>
        <v>41849.93156633696</v>
      </c>
      <c r="X49" s="201">
        <f t="shared" si="10"/>
        <v>41945.81436309451</v>
      </c>
      <c r="Y49" s="201">
        <f t="shared" si="10"/>
        <v>42031.89630321252</v>
      </c>
      <c r="Z49" s="205">
        <f t="shared" si="10"/>
        <v>42107.79713260615</v>
      </c>
      <c r="AA49" s="201">
        <f t="shared" si="10"/>
        <v>42173.12602065332</v>
      </c>
      <c r="AB49" s="201">
        <f t="shared" si="10"/>
        <v>42227.48129896637</v>
      </c>
      <c r="AC49" s="201">
        <f t="shared" si="10"/>
        <v>42270.450194067016</v>
      </c>
      <c r="AD49" s="201">
        <f t="shared" si="10"/>
        <v>42301.60855382662</v>
      </c>
      <c r="AE49" s="201">
        <f t="shared" si="10"/>
        <v>42320.520567530155</v>
      </c>
      <c r="AF49" s="201"/>
      <c r="AG49" s="201">
        <f>SUM(G49:AF49)</f>
        <v>438814.65259730106</v>
      </c>
      <c r="AH49" s="167"/>
      <c r="AI49" s="185"/>
      <c r="AJ49" s="167"/>
      <c r="AK49" s="167"/>
      <c r="AL49" s="167"/>
      <c r="AM49" s="167"/>
      <c r="AN49" s="167"/>
      <c r="AO49" s="167"/>
      <c r="AP49" s="167"/>
      <c r="AQ49" s="167"/>
      <c r="AR49" s="167"/>
      <c r="AS49" s="167"/>
      <c r="AT49" s="167"/>
      <c r="AU49" s="167"/>
      <c r="AV49" s="167"/>
      <c r="AW49" s="167"/>
      <c r="AX49" s="167"/>
      <c r="AY49" s="167"/>
      <c r="AZ49" s="167"/>
    </row>
    <row r="50" spans="2:52" ht="13.5" thickBot="1">
      <c r="B50" s="168"/>
      <c r="C50" s="189" t="s">
        <v>211</v>
      </c>
      <c r="D50" s="190"/>
      <c r="E50" s="190"/>
      <c r="F50" s="190"/>
      <c r="G50" s="206">
        <f>IF(input!$D$49=0%,"-",G47/ekn)</f>
        <v>-0.05597588761882045</v>
      </c>
      <c r="H50" s="206">
        <f>IF(input!$D$49=0%,"-",H47/ekn)</f>
        <v>0.004161375212473622</v>
      </c>
      <c r="I50" s="206">
        <f>IF(input!$D$49=0%,"-",I47/ekn)</f>
        <v>0.004479534443652886</v>
      </c>
      <c r="J50" s="206">
        <f>IF(input!$D$49=0%,"-",J47/ekn)</f>
        <v>0.004789563745729974</v>
      </c>
      <c r="K50" s="206">
        <f>IF(input!$D$49=0%,"-",K47/ekn)</f>
        <v>0.005091073942952264</v>
      </c>
      <c r="L50" s="206">
        <f>IF(input!$D$49=0%,"-",L47/ekn)</f>
        <v>0.005383664452032847</v>
      </c>
      <c r="M50" s="206">
        <f>IF(input!$D$49=0%,"-",M47/ekn)</f>
        <v>0.005666922994088694</v>
      </c>
      <c r="N50" s="206">
        <f>IF(input!$D$49=0%,"-",N47/ekn)</f>
        <v>0.005940425299781943</v>
      </c>
      <c r="O50" s="206">
        <f>IF(input!$D$49=0%,"-",O47/ekn)</f>
        <v>0.0062037348075093795</v>
      </c>
      <c r="P50" s="206">
        <f>IF(input!$D$49=0%,"-",P47/ekn)</f>
        <v>0.006456402354481561</v>
      </c>
      <c r="Q50" s="206">
        <f>IF(input!$D$49=0%,"-",Q47/ekn)</f>
        <v>0.006697965860530121</v>
      </c>
      <c r="R50" s="206">
        <f>IF(input!$D$49=0%,"-",R47/ekn)</f>
        <v>0.006927950004477114</v>
      </c>
      <c r="S50" s="206">
        <f>IF(input!$D$49=0%,"-",S47/ekn)</f>
        <v>0.007145865892898047</v>
      </c>
      <c r="T50" s="206">
        <f>IF(input!$D$49=0%,"-",T47/ekn)</f>
        <v>0.007351210721104602</v>
      </c>
      <c r="U50" s="206">
        <f>IF(input!$D$49=0%,"-",U47/ekn)</f>
        <v>0.007543467426171404</v>
      </c>
      <c r="V50" s="206">
        <f>IF(input!$D$49=0%,"-",V47/ekn)</f>
        <v>0.0651933686996407</v>
      </c>
      <c r="W50" s="206">
        <f>IF(input!$D$49=0%,"-",W47/ekn)</f>
        <v>0.06535783915282509</v>
      </c>
      <c r="X50" s="206">
        <f>IF(input!$D$49=0%,"-",X47/ekn)</f>
        <v>0.0655075811517593</v>
      </c>
      <c r="Y50" s="206">
        <f>IF(input!$D$49=0%,"-",Y47/ekn)</f>
        <v>0.0656420169652869</v>
      </c>
      <c r="Z50" s="207">
        <f>IF(input!$D$49=0%,"-",Z47/ekn)</f>
        <v>0.06576055274332546</v>
      </c>
      <c r="AA50" s="206">
        <f>IF(input!$D$49=0%,"-",AA47/ekn)</f>
        <v>0.06586257811821171</v>
      </c>
      <c r="AB50" s="206">
        <f>IF(input!$D$49=0%,"-",AB47/ekn)</f>
        <v>0.06594746579673659</v>
      </c>
      <c r="AC50" s="206">
        <f>IF(input!$D$49=0%,"-",AC47/ekn)</f>
        <v>0.06601457114265838</v>
      </c>
      <c r="AD50" s="206">
        <f>IF(input!$D$49=0%,"-",AD47/ekn)</f>
        <v>0.06606323174947935</v>
      </c>
      <c r="AE50" s="206">
        <f>IF(input!$D$49=0%,"-",AE47/ekn)</f>
        <v>0.06609276700326423</v>
      </c>
      <c r="AF50" s="208"/>
      <c r="AG50" s="209">
        <f>SUM($G$50:$AE$50)</f>
        <v>0.6853052420622519</v>
      </c>
      <c r="AH50" s="167"/>
      <c r="AI50" s="185"/>
      <c r="AJ50" s="167"/>
      <c r="AK50" s="167"/>
      <c r="AL50" s="167"/>
      <c r="AM50" s="167"/>
      <c r="AN50" s="167"/>
      <c r="AO50" s="167"/>
      <c r="AP50" s="167"/>
      <c r="AQ50" s="167"/>
      <c r="AR50" s="167"/>
      <c r="AS50" s="167"/>
      <c r="AT50" s="167"/>
      <c r="AU50" s="167"/>
      <c r="AV50" s="167"/>
      <c r="AW50" s="167"/>
      <c r="AX50" s="167"/>
      <c r="AY50" s="167"/>
      <c r="AZ50" s="167"/>
    </row>
    <row r="51" spans="2:52" ht="12.75">
      <c r="B51" s="168"/>
      <c r="C51" s="239" t="s">
        <v>58</v>
      </c>
      <c r="D51" s="240" t="s">
        <v>214</v>
      </c>
      <c r="E51" s="240"/>
      <c r="F51" s="240">
        <f>-ekn</f>
        <v>-853760</v>
      </c>
      <c r="G51" s="240">
        <f>G43-G48+G19</f>
        <v>119036.69285322251</v>
      </c>
      <c r="H51" s="240">
        <f aca="true" t="shared" si="11" ref="H51:AE51">H43-H48</f>
        <v>52619.482368068144</v>
      </c>
      <c r="I51" s="240">
        <f t="shared" si="11"/>
        <v>52891.11399327975</v>
      </c>
      <c r="J51" s="240">
        <f t="shared" si="11"/>
        <v>53155.80461022109</v>
      </c>
      <c r="K51" s="240">
        <f t="shared" si="11"/>
        <v>53413.22195620159</v>
      </c>
      <c r="L51" s="240">
        <f t="shared" si="11"/>
        <v>53663.02402923423</v>
      </c>
      <c r="M51" s="240">
        <f t="shared" si="11"/>
        <v>53904.85884209983</v>
      </c>
      <c r="N51" s="240">
        <f t="shared" si="11"/>
        <v>54138.364170608496</v>
      </c>
      <c r="O51" s="240">
        <f t="shared" si="11"/>
        <v>54363.16729592587</v>
      </c>
      <c r="P51" s="240">
        <f t="shared" si="11"/>
        <v>54578.88474082884</v>
      </c>
      <c r="Q51" s="240">
        <f t="shared" si="11"/>
        <v>54785.12199975286</v>
      </c>
      <c r="R51" s="240">
        <f t="shared" si="11"/>
        <v>53738.67073200597</v>
      </c>
      <c r="S51" s="240">
        <f t="shared" si="11"/>
        <v>53642.30751520714</v>
      </c>
      <c r="T51" s="240">
        <f t="shared" si="11"/>
        <v>53773.793915604365</v>
      </c>
      <c r="U51" s="240">
        <f t="shared" si="11"/>
        <v>53896.899728992736</v>
      </c>
      <c r="V51" s="240">
        <f t="shared" si="11"/>
        <v>41744.61784575393</v>
      </c>
      <c r="W51" s="240">
        <f t="shared" si="11"/>
        <v>41849.93156633696</v>
      </c>
      <c r="X51" s="240">
        <f t="shared" si="11"/>
        <v>41945.81436309451</v>
      </c>
      <c r="Y51" s="240">
        <f t="shared" si="11"/>
        <v>42031.89630321252</v>
      </c>
      <c r="Z51" s="241">
        <f t="shared" si="11"/>
        <v>42107.79713260615</v>
      </c>
      <c r="AA51" s="240">
        <f t="shared" si="11"/>
        <v>42173.12602065332</v>
      </c>
      <c r="AB51" s="240">
        <f t="shared" si="11"/>
        <v>42227.48129896637</v>
      </c>
      <c r="AC51" s="240">
        <f t="shared" si="11"/>
        <v>42270.450194067016</v>
      </c>
      <c r="AD51" s="240">
        <f t="shared" si="11"/>
        <v>42301.60855382662</v>
      </c>
      <c r="AE51" s="240">
        <f t="shared" si="11"/>
        <v>42320.520567530155</v>
      </c>
      <c r="AF51" s="242">
        <f>NPV(input!I14,F51:AE51)</f>
        <v>78880.86289820075</v>
      </c>
      <c r="AG51" s="243">
        <f>IRR(F51:AE51)</f>
        <v>0.03944166648078817</v>
      </c>
      <c r="AH51" s="186" t="s">
        <v>101</v>
      </c>
      <c r="AI51" s="185"/>
      <c r="AJ51" s="187">
        <f>NPV(input!I14,F51:AE51)</f>
        <v>78880.86289820075</v>
      </c>
      <c r="AK51" s="167" t="s">
        <v>102</v>
      </c>
      <c r="AL51" s="167"/>
      <c r="AM51" s="167"/>
      <c r="AN51" s="167"/>
      <c r="AO51" s="167"/>
      <c r="AP51" s="167"/>
      <c r="AQ51" s="167"/>
      <c r="AR51" s="167"/>
      <c r="AS51" s="167"/>
      <c r="AT51" s="167"/>
      <c r="AU51" s="167"/>
      <c r="AV51" s="167"/>
      <c r="AW51" s="167"/>
      <c r="AX51" s="167"/>
      <c r="AY51" s="167"/>
      <c r="AZ51" s="167"/>
    </row>
    <row r="52" spans="2:52" ht="12.75">
      <c r="B52" s="168"/>
      <c r="C52" s="244" t="s">
        <v>59</v>
      </c>
      <c r="D52" s="245" t="s">
        <v>215</v>
      </c>
      <c r="E52" s="245"/>
      <c r="F52" s="245"/>
      <c r="G52" s="245">
        <f>IF(G51&gt;0,G51,0)</f>
        <v>119036.69285322251</v>
      </c>
      <c r="H52" s="245">
        <f aca="true" t="shared" si="12" ref="H52:AE52">IF(H51&gt;0,H51,0)</f>
        <v>52619.482368068144</v>
      </c>
      <c r="I52" s="245">
        <f t="shared" si="12"/>
        <v>52891.11399327975</v>
      </c>
      <c r="J52" s="245">
        <f t="shared" si="12"/>
        <v>53155.80461022109</v>
      </c>
      <c r="K52" s="245">
        <f t="shared" si="12"/>
        <v>53413.22195620159</v>
      </c>
      <c r="L52" s="245">
        <f t="shared" si="12"/>
        <v>53663.02402923423</v>
      </c>
      <c r="M52" s="245">
        <f t="shared" si="12"/>
        <v>53904.85884209983</v>
      </c>
      <c r="N52" s="245">
        <f t="shared" si="12"/>
        <v>54138.364170608496</v>
      </c>
      <c r="O52" s="245">
        <f t="shared" si="12"/>
        <v>54363.16729592587</v>
      </c>
      <c r="P52" s="245">
        <f t="shared" si="12"/>
        <v>54578.88474082884</v>
      </c>
      <c r="Q52" s="245">
        <f t="shared" si="12"/>
        <v>54785.12199975286</v>
      </c>
      <c r="R52" s="245">
        <f t="shared" si="12"/>
        <v>53738.67073200597</v>
      </c>
      <c r="S52" s="245">
        <f t="shared" si="12"/>
        <v>53642.30751520714</v>
      </c>
      <c r="T52" s="245">
        <f t="shared" si="12"/>
        <v>53773.793915604365</v>
      </c>
      <c r="U52" s="245">
        <f t="shared" si="12"/>
        <v>53896.899728992736</v>
      </c>
      <c r="V52" s="245">
        <f t="shared" si="12"/>
        <v>41744.61784575393</v>
      </c>
      <c r="W52" s="245">
        <f t="shared" si="12"/>
        <v>41849.93156633696</v>
      </c>
      <c r="X52" s="245">
        <f t="shared" si="12"/>
        <v>41945.81436309451</v>
      </c>
      <c r="Y52" s="245">
        <f t="shared" si="12"/>
        <v>42031.89630321252</v>
      </c>
      <c r="Z52" s="245">
        <f t="shared" si="12"/>
        <v>42107.79713260615</v>
      </c>
      <c r="AA52" s="245">
        <f t="shared" si="12"/>
        <v>42173.12602065332</v>
      </c>
      <c r="AB52" s="245">
        <f t="shared" si="12"/>
        <v>42227.48129896637</v>
      </c>
      <c r="AC52" s="245">
        <f t="shared" si="12"/>
        <v>42270.450194067016</v>
      </c>
      <c r="AD52" s="245">
        <f t="shared" si="12"/>
        <v>42301.60855382662</v>
      </c>
      <c r="AE52" s="245">
        <f t="shared" si="12"/>
        <v>42320.520567530155</v>
      </c>
      <c r="AF52" s="245"/>
      <c r="AG52" s="246">
        <f>SUM(G52:AE52)</f>
        <v>1292574.652597301</v>
      </c>
      <c r="AH52" s="167"/>
      <c r="AI52" s="185"/>
      <c r="AJ52" s="167"/>
      <c r="AK52" s="167"/>
      <c r="AL52" s="167"/>
      <c r="AM52" s="167"/>
      <c r="AN52" s="167"/>
      <c r="AO52" s="167"/>
      <c r="AP52" s="167"/>
      <c r="AQ52" s="167"/>
      <c r="AR52" s="167"/>
      <c r="AS52" s="167"/>
      <c r="AT52" s="167"/>
      <c r="AU52" s="167"/>
      <c r="AV52" s="167"/>
      <c r="AW52" s="167"/>
      <c r="AX52" s="167"/>
      <c r="AY52" s="167"/>
      <c r="AZ52" s="167"/>
    </row>
    <row r="53" spans="2:52" ht="12" customHeight="1">
      <c r="B53" s="168"/>
      <c r="C53" s="244" t="s">
        <v>60</v>
      </c>
      <c r="D53" s="245" t="s">
        <v>216</v>
      </c>
      <c r="E53" s="245"/>
      <c r="F53" s="245"/>
      <c r="G53" s="247">
        <f>IF(input!$D$49=0%,"-",G52/ekn)</f>
        <v>0.13942641123175425</v>
      </c>
      <c r="H53" s="247">
        <f>IF(input!$D$49=0%,"-",H52/ekn)</f>
        <v>0.06163263958028971</v>
      </c>
      <c r="I53" s="247">
        <f>IF(input!$D$49=0%,"-",I52/ekn)</f>
        <v>0.06195079881146898</v>
      </c>
      <c r="J53" s="247">
        <f>IF(input!$D$49=0%,"-",J52/ekn)</f>
        <v>0.062260828113546066</v>
      </c>
      <c r="K53" s="247">
        <f>IF(input!$D$49=0%,"-",K52/ekn)</f>
        <v>0.06256233831076835</v>
      </c>
      <c r="L53" s="247">
        <f>IF(input!$D$49=0%,"-",L52/ekn)</f>
        <v>0.06285492881984894</v>
      </c>
      <c r="M53" s="247">
        <f>IF(input!$D$49=0%,"-",M52/ekn)</f>
        <v>0.06313818736190478</v>
      </c>
      <c r="N53" s="247">
        <f>IF(input!$D$49=0%,"-",N52/ekn)</f>
        <v>0.06341168966759803</v>
      </c>
      <c r="O53" s="247">
        <f>IF(input!$D$49=0%,"-",O52/ekn)</f>
        <v>0.06367499917532547</v>
      </c>
      <c r="P53" s="247">
        <f>IF(input!$D$49=0%,"-",P52/ekn)</f>
        <v>0.06392766672229765</v>
      </c>
      <c r="Q53" s="247">
        <f>IF(input!$D$49=0%,"-",Q52/ekn)</f>
        <v>0.06416923022834621</v>
      </c>
      <c r="R53" s="247">
        <f>IF(input!$D$49=0%,"-",R52/ekn)</f>
        <v>0.06294353299757072</v>
      </c>
      <c r="S53" s="247">
        <f>IF(input!$D$49=0%,"-",S52/ekn)</f>
        <v>0.06283066378748962</v>
      </c>
      <c r="T53" s="247">
        <f>IF(input!$D$49=0%,"-",T52/ekn)</f>
        <v>0.06298467240864454</v>
      </c>
      <c r="U53" s="247">
        <f>IF(input!$D$49=0%,"-",U52/ekn)</f>
        <v>0.06312886493744464</v>
      </c>
      <c r="V53" s="247">
        <f>IF(input!$D$49=0%,"-",V52/ekn)</f>
        <v>0.04889502652473052</v>
      </c>
      <c r="W53" s="247">
        <f>IF(input!$D$49=0%,"-",W52/ekn)</f>
        <v>0.04901837936461882</v>
      </c>
      <c r="X53" s="247">
        <f>IF(input!$D$49=0%,"-",X52/ekn)</f>
        <v>0.049130685863819475</v>
      </c>
      <c r="Y53" s="247">
        <f>IF(input!$D$49=0%,"-",Y52/ekn)</f>
        <v>0.049231512723965185</v>
      </c>
      <c r="Z53" s="248">
        <f>IF(input!$D$49=0%,"-",Z52/ekn)</f>
        <v>0.049320414557494086</v>
      </c>
      <c r="AA53" s="247">
        <f>IF(input!$D$49=0%,"-",AA52/ekn)</f>
        <v>0.04939693358865878</v>
      </c>
      <c r="AB53" s="247">
        <f>IF(input!$D$49=0%,"-",AB52/ekn)</f>
        <v>0.04946059934755244</v>
      </c>
      <c r="AC53" s="247">
        <f>IF(input!$D$49=0%,"-",AC52/ekn)</f>
        <v>0.049510928356993784</v>
      </c>
      <c r="AD53" s="247">
        <f>IF(input!$D$49=0%,"-",AD52/ekn)</f>
        <v>0.04954742381210952</v>
      </c>
      <c r="AE53" s="247">
        <f>IF(input!$D$49=0%,"-",AE52/ekn)</f>
        <v>0.04956957525244818</v>
      </c>
      <c r="AF53" s="249"/>
      <c r="AG53" s="250">
        <f>SUM(G53:AE53)</f>
        <v>1.5139789315466887</v>
      </c>
      <c r="AH53" s="179"/>
      <c r="AI53" s="185"/>
      <c r="AJ53" s="167"/>
      <c r="AK53" s="167"/>
      <c r="AL53" s="165"/>
      <c r="AM53" s="167"/>
      <c r="AN53" s="167"/>
      <c r="AO53" s="167"/>
      <c r="AP53" s="167"/>
      <c r="AQ53" s="167"/>
      <c r="AR53" s="167"/>
      <c r="AS53" s="167"/>
      <c r="AT53" s="167"/>
      <c r="AU53" s="167"/>
      <c r="AV53" s="167"/>
      <c r="AW53" s="167"/>
      <c r="AX53" s="167"/>
      <c r="AY53" s="167"/>
      <c r="AZ53" s="167"/>
    </row>
    <row r="54" spans="1:78" s="11" customFormat="1" ht="11.25" customHeight="1">
      <c r="A54" s="169"/>
      <c r="B54" s="170"/>
      <c r="C54" s="244"/>
      <c r="D54" s="251" t="s">
        <v>217</v>
      </c>
      <c r="E54" s="234"/>
      <c r="F54" s="234"/>
      <c r="G54" s="234">
        <f>IF((G49+F56)&lt;G52,G49+E56,G52)</f>
        <v>-47789.97381344414</v>
      </c>
      <c r="H54" s="234">
        <f aca="true" t="shared" si="13" ref="H54:AE54">IF((H49+G56)&lt;H52,H49+G56,H52)</f>
        <v>-44237.15811204266</v>
      </c>
      <c r="I54" s="234">
        <f t="shared" si="13"/>
        <v>-40412.710785429575</v>
      </c>
      <c r="J54" s="234">
        <f t="shared" si="13"/>
        <v>-36323.57284187515</v>
      </c>
      <c r="K54" s="234">
        <f t="shared" si="13"/>
        <v>-31977.01755234023</v>
      </c>
      <c r="L54" s="234">
        <f t="shared" si="13"/>
        <v>-27380.660189772665</v>
      </c>
      <c r="M54" s="234">
        <f t="shared" si="13"/>
        <v>-22542.4680143395</v>
      </c>
      <c r="N54" s="234">
        <f t="shared" si="13"/>
        <v>-17470.77051039767</v>
      </c>
      <c r="O54" s="234">
        <f t="shared" si="13"/>
        <v>-12174.269881138462</v>
      </c>
      <c r="P54" s="234">
        <f t="shared" si="13"/>
        <v>-6662.051806976284</v>
      </c>
      <c r="Q54" s="234">
        <f t="shared" si="13"/>
        <v>-943.5964738900875</v>
      </c>
      <c r="R54" s="234">
        <f t="shared" si="13"/>
        <v>3728.4075914492205</v>
      </c>
      <c r="S54" s="234">
        <f t="shared" si="13"/>
        <v>4575.640848540477</v>
      </c>
      <c r="T54" s="234">
        <f t="shared" si="13"/>
        <v>4707.127248937699</v>
      </c>
      <c r="U54" s="234">
        <f t="shared" si="13"/>
        <v>4830.233062326073</v>
      </c>
      <c r="V54" s="234">
        <f t="shared" si="13"/>
        <v>41744.61784575393</v>
      </c>
      <c r="W54" s="234">
        <f t="shared" si="13"/>
        <v>41849.93156633696</v>
      </c>
      <c r="X54" s="234">
        <f t="shared" si="13"/>
        <v>41945.81436309451</v>
      </c>
      <c r="Y54" s="234">
        <f t="shared" si="13"/>
        <v>42031.89630321252</v>
      </c>
      <c r="Z54" s="231">
        <f t="shared" si="13"/>
        <v>42107.79713260615</v>
      </c>
      <c r="AA54" s="234">
        <f t="shared" si="13"/>
        <v>42173.12602065332</v>
      </c>
      <c r="AB54" s="234">
        <f t="shared" si="13"/>
        <v>42227.48129896637</v>
      </c>
      <c r="AC54" s="234">
        <f t="shared" si="13"/>
        <v>42270.450194067016</v>
      </c>
      <c r="AD54" s="234">
        <f t="shared" si="13"/>
        <v>42301.60855382662</v>
      </c>
      <c r="AE54" s="234">
        <f t="shared" si="13"/>
        <v>42320.520567530155</v>
      </c>
      <c r="AF54" s="234"/>
      <c r="AG54" s="246"/>
      <c r="AH54" s="167"/>
      <c r="AI54" s="165"/>
      <c r="AJ54" s="167"/>
      <c r="AK54" s="167"/>
      <c r="AL54" s="167"/>
      <c r="AM54" s="167"/>
      <c r="AN54" s="167"/>
      <c r="AO54" s="167"/>
      <c r="AP54" s="167"/>
      <c r="AQ54" s="167"/>
      <c r="AR54" s="167"/>
      <c r="AS54" s="167"/>
      <c r="AT54" s="167"/>
      <c r="AU54" s="167"/>
      <c r="AV54" s="167"/>
      <c r="AW54" s="167"/>
      <c r="AX54" s="167"/>
      <c r="AY54" s="167"/>
      <c r="AZ54" s="167"/>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row>
    <row r="55" spans="2:52" ht="11.25" customHeight="1">
      <c r="B55" s="168"/>
      <c r="C55" s="244" t="s">
        <v>61</v>
      </c>
      <c r="D55" s="245" t="s">
        <v>218</v>
      </c>
      <c r="E55" s="234"/>
      <c r="F55" s="217"/>
      <c r="G55" s="245">
        <f>IF(G54&lt;0,0,G54)</f>
        <v>0</v>
      </c>
      <c r="H55" s="245">
        <f>IF(H54&lt;0,0,H54)</f>
        <v>0</v>
      </c>
      <c r="I55" s="245">
        <f>IF(I54&lt;0,0,I54)</f>
        <v>0</v>
      </c>
      <c r="J55" s="245">
        <f aca="true" t="shared" si="14" ref="J55:Z55">IF(J54&lt;0,0,J54)</f>
        <v>0</v>
      </c>
      <c r="K55" s="245">
        <f t="shared" si="14"/>
        <v>0</v>
      </c>
      <c r="L55" s="245">
        <f t="shared" si="14"/>
        <v>0</v>
      </c>
      <c r="M55" s="245">
        <f t="shared" si="14"/>
        <v>0</v>
      </c>
      <c r="N55" s="245">
        <f t="shared" si="14"/>
        <v>0</v>
      </c>
      <c r="O55" s="245">
        <f t="shared" si="14"/>
        <v>0</v>
      </c>
      <c r="P55" s="245">
        <f>IF(P54&lt;0,0,P54)</f>
        <v>0</v>
      </c>
      <c r="Q55" s="245">
        <f t="shared" si="14"/>
        <v>0</v>
      </c>
      <c r="R55" s="245">
        <f t="shared" si="14"/>
        <v>3728.4075914492205</v>
      </c>
      <c r="S55" s="245">
        <f t="shared" si="14"/>
        <v>4575.640848540477</v>
      </c>
      <c r="T55" s="245">
        <f t="shared" si="14"/>
        <v>4707.127248937699</v>
      </c>
      <c r="U55" s="245">
        <f t="shared" si="14"/>
        <v>4830.233062326073</v>
      </c>
      <c r="V55" s="245">
        <f t="shared" si="14"/>
        <v>41744.61784575393</v>
      </c>
      <c r="W55" s="245">
        <f t="shared" si="14"/>
        <v>41849.93156633696</v>
      </c>
      <c r="X55" s="245">
        <f t="shared" si="14"/>
        <v>41945.81436309451</v>
      </c>
      <c r="Y55" s="245">
        <f t="shared" si="14"/>
        <v>42031.89630321252</v>
      </c>
      <c r="Z55" s="252">
        <f t="shared" si="14"/>
        <v>42107.79713260615</v>
      </c>
      <c r="AA55" s="245">
        <f>IF(AA54&lt;0,0,AA54)</f>
        <v>42173.12602065332</v>
      </c>
      <c r="AB55" s="245">
        <f>IF(AB54&lt;0,0,AB54)</f>
        <v>42227.48129896637</v>
      </c>
      <c r="AC55" s="245">
        <f>IF(AC54&lt;0,0,AC54)</f>
        <v>42270.450194067016</v>
      </c>
      <c r="AD55" s="245">
        <f>IF(AD54&lt;0,0,AD54)</f>
        <v>42301.60855382662</v>
      </c>
      <c r="AE55" s="245">
        <f>IF(AE54&lt;0,0,AE54)</f>
        <v>42320.520567530155</v>
      </c>
      <c r="AF55" s="245"/>
      <c r="AG55" s="246">
        <f>SUM(G55:AE55)</f>
        <v>438814.65259730106</v>
      </c>
      <c r="AH55" s="165"/>
      <c r="AI55" s="185"/>
      <c r="AJ55" s="167"/>
      <c r="AK55" s="167"/>
      <c r="AL55" s="167"/>
      <c r="AM55" s="167"/>
      <c r="AN55" s="167"/>
      <c r="AO55" s="167"/>
      <c r="AP55" s="167"/>
      <c r="AQ55" s="167"/>
      <c r="AR55" s="167"/>
      <c r="AS55" s="167"/>
      <c r="AT55" s="167"/>
      <c r="AU55" s="167"/>
      <c r="AV55" s="167"/>
      <c r="AW55" s="167"/>
      <c r="AX55" s="167"/>
      <c r="AY55" s="167"/>
      <c r="AZ55" s="167"/>
    </row>
    <row r="56" spans="2:52" ht="12.75">
      <c r="B56" s="168"/>
      <c r="C56" s="244" t="s">
        <v>62</v>
      </c>
      <c r="D56" s="245" t="s">
        <v>219</v>
      </c>
      <c r="E56" s="245"/>
      <c r="F56" s="245"/>
      <c r="G56" s="245">
        <f>IF(G49&lt;0,F56+G49,G49-G55+E56)</f>
        <v>-47789.97381344414</v>
      </c>
      <c r="H56" s="245">
        <f aca="true" t="shared" si="15" ref="H56:AE56">IF(H49&lt;0,G56+H49,H49-H55+G56)</f>
        <v>-44237.15811204266</v>
      </c>
      <c r="I56" s="245">
        <f t="shared" si="15"/>
        <v>-40412.710785429575</v>
      </c>
      <c r="J56" s="245">
        <f t="shared" si="15"/>
        <v>-36323.57284187515</v>
      </c>
      <c r="K56" s="245">
        <f t="shared" si="15"/>
        <v>-31977.01755234023</v>
      </c>
      <c r="L56" s="245">
        <f t="shared" si="15"/>
        <v>-27380.660189772665</v>
      </c>
      <c r="M56" s="245">
        <f t="shared" si="15"/>
        <v>-22542.4680143395</v>
      </c>
      <c r="N56" s="245">
        <f t="shared" si="15"/>
        <v>-17470.77051039767</v>
      </c>
      <c r="O56" s="245">
        <f t="shared" si="15"/>
        <v>-12174.269881138462</v>
      </c>
      <c r="P56" s="245">
        <f t="shared" si="15"/>
        <v>-6662.051806976284</v>
      </c>
      <c r="Q56" s="245">
        <f t="shared" si="15"/>
        <v>-943.5964738900875</v>
      </c>
      <c r="R56" s="245">
        <f t="shared" si="15"/>
        <v>0</v>
      </c>
      <c r="S56" s="245">
        <f t="shared" si="15"/>
        <v>0</v>
      </c>
      <c r="T56" s="245">
        <f t="shared" si="15"/>
        <v>0</v>
      </c>
      <c r="U56" s="245">
        <f t="shared" si="15"/>
        <v>0</v>
      </c>
      <c r="V56" s="245">
        <f t="shared" si="15"/>
        <v>0</v>
      </c>
      <c r="W56" s="245">
        <f t="shared" si="15"/>
        <v>0</v>
      </c>
      <c r="X56" s="245">
        <f t="shared" si="15"/>
        <v>0</v>
      </c>
      <c r="Y56" s="245">
        <f t="shared" si="15"/>
        <v>0</v>
      </c>
      <c r="Z56" s="252">
        <f t="shared" si="15"/>
        <v>0</v>
      </c>
      <c r="AA56" s="245">
        <f t="shared" si="15"/>
        <v>0</v>
      </c>
      <c r="AB56" s="245">
        <f t="shared" si="15"/>
        <v>0</v>
      </c>
      <c r="AC56" s="245">
        <f t="shared" si="15"/>
        <v>0</v>
      </c>
      <c r="AD56" s="245">
        <f t="shared" si="15"/>
        <v>0</v>
      </c>
      <c r="AE56" s="245">
        <f t="shared" si="15"/>
        <v>0</v>
      </c>
      <c r="AF56" s="245"/>
      <c r="AG56" s="246"/>
      <c r="AH56" s="188"/>
      <c r="AI56" s="185"/>
      <c r="AJ56" s="167"/>
      <c r="AK56" s="167"/>
      <c r="AL56" s="167"/>
      <c r="AM56" s="167"/>
      <c r="AN56" s="167"/>
      <c r="AO56" s="167"/>
      <c r="AP56" s="167"/>
      <c r="AQ56" s="167"/>
      <c r="AR56" s="167"/>
      <c r="AS56" s="167"/>
      <c r="AT56" s="167"/>
      <c r="AU56" s="167"/>
      <c r="AV56" s="167"/>
      <c r="AW56" s="167"/>
      <c r="AX56" s="167"/>
      <c r="AY56" s="167"/>
      <c r="AZ56" s="167"/>
    </row>
    <row r="57" spans="2:52" ht="12.75">
      <c r="B57" s="168"/>
      <c r="C57" s="244" t="s">
        <v>63</v>
      </c>
      <c r="D57" s="245" t="s">
        <v>220</v>
      </c>
      <c r="E57" s="245"/>
      <c r="F57" s="245"/>
      <c r="G57" s="245">
        <f aca="true" t="shared" si="16" ref="G57:Z57">G52-G55</f>
        <v>119036.69285322251</v>
      </c>
      <c r="H57" s="245">
        <f t="shared" si="16"/>
        <v>52619.482368068144</v>
      </c>
      <c r="I57" s="245">
        <f t="shared" si="16"/>
        <v>52891.11399327975</v>
      </c>
      <c r="J57" s="245">
        <f t="shared" si="16"/>
        <v>53155.80461022109</v>
      </c>
      <c r="K57" s="245">
        <f t="shared" si="16"/>
        <v>53413.22195620159</v>
      </c>
      <c r="L57" s="245">
        <f t="shared" si="16"/>
        <v>53663.02402923423</v>
      </c>
      <c r="M57" s="245">
        <f t="shared" si="16"/>
        <v>53904.85884209983</v>
      </c>
      <c r="N57" s="245">
        <f t="shared" si="16"/>
        <v>54138.364170608496</v>
      </c>
      <c r="O57" s="245">
        <f t="shared" si="16"/>
        <v>54363.16729592587</v>
      </c>
      <c r="P57" s="245">
        <f t="shared" si="16"/>
        <v>54578.88474082884</v>
      </c>
      <c r="Q57" s="245">
        <f t="shared" si="16"/>
        <v>54785.12199975286</v>
      </c>
      <c r="R57" s="245">
        <f t="shared" si="16"/>
        <v>50010.26314055675</v>
      </c>
      <c r="S57" s="245">
        <f t="shared" si="16"/>
        <v>49066.666666666664</v>
      </c>
      <c r="T57" s="245">
        <f t="shared" si="16"/>
        <v>49066.666666666664</v>
      </c>
      <c r="U57" s="245">
        <f t="shared" si="16"/>
        <v>49066.666666666664</v>
      </c>
      <c r="V57" s="245">
        <f t="shared" si="16"/>
        <v>0</v>
      </c>
      <c r="W57" s="245">
        <f t="shared" si="16"/>
        <v>0</v>
      </c>
      <c r="X57" s="245">
        <f t="shared" si="16"/>
        <v>0</v>
      </c>
      <c r="Y57" s="245">
        <f t="shared" si="16"/>
        <v>0</v>
      </c>
      <c r="Z57" s="252">
        <f t="shared" si="16"/>
        <v>0</v>
      </c>
      <c r="AA57" s="245">
        <f>AA52-AA55</f>
        <v>0</v>
      </c>
      <c r="AB57" s="245">
        <f>AB52-AB55</f>
        <v>0</v>
      </c>
      <c r="AC57" s="245">
        <f>AC52-AC55</f>
        <v>0</v>
      </c>
      <c r="AD57" s="245">
        <f>AD52-AD55</f>
        <v>0</v>
      </c>
      <c r="AE57" s="245">
        <f>AE52-AE55</f>
        <v>0</v>
      </c>
      <c r="AF57" s="249"/>
      <c r="AG57" s="246">
        <f>SUM(G57:AE57)</f>
        <v>853759.9999999999</v>
      </c>
      <c r="AH57" s="179"/>
      <c r="AI57" s="185"/>
      <c r="AJ57" s="167"/>
      <c r="AK57" s="167"/>
      <c r="AL57" s="165"/>
      <c r="AM57" s="167"/>
      <c r="AN57" s="167"/>
      <c r="AO57" s="167"/>
      <c r="AP57" s="167"/>
      <c r="AQ57" s="167"/>
      <c r="AR57" s="167"/>
      <c r="AS57" s="167"/>
      <c r="AT57" s="167"/>
      <c r="AU57" s="167"/>
      <c r="AV57" s="167"/>
      <c r="AW57" s="167"/>
      <c r="AX57" s="167"/>
      <c r="AY57" s="167"/>
      <c r="AZ57" s="167"/>
    </row>
    <row r="58" spans="2:52" ht="12.75">
      <c r="B58" s="168"/>
      <c r="C58" s="244" t="s">
        <v>64</v>
      </c>
      <c r="D58" s="245" t="s">
        <v>221</v>
      </c>
      <c r="E58" s="245"/>
      <c r="F58" s="245"/>
      <c r="G58" s="245">
        <f aca="true" t="shared" si="17" ref="G58:Z58">G55+G57</f>
        <v>119036.69285322251</v>
      </c>
      <c r="H58" s="245">
        <f t="shared" si="17"/>
        <v>52619.482368068144</v>
      </c>
      <c r="I58" s="245">
        <f t="shared" si="17"/>
        <v>52891.11399327975</v>
      </c>
      <c r="J58" s="245">
        <f t="shared" si="17"/>
        <v>53155.80461022109</v>
      </c>
      <c r="K58" s="245">
        <f t="shared" si="17"/>
        <v>53413.22195620159</v>
      </c>
      <c r="L58" s="245">
        <f t="shared" si="17"/>
        <v>53663.02402923423</v>
      </c>
      <c r="M58" s="245">
        <f t="shared" si="17"/>
        <v>53904.85884209983</v>
      </c>
      <c r="N58" s="245">
        <f t="shared" si="17"/>
        <v>54138.364170608496</v>
      </c>
      <c r="O58" s="245">
        <f t="shared" si="17"/>
        <v>54363.16729592587</v>
      </c>
      <c r="P58" s="245">
        <f t="shared" si="17"/>
        <v>54578.88474082884</v>
      </c>
      <c r="Q58" s="245">
        <f t="shared" si="17"/>
        <v>54785.12199975286</v>
      </c>
      <c r="R58" s="245">
        <f t="shared" si="17"/>
        <v>53738.67073200597</v>
      </c>
      <c r="S58" s="245">
        <f t="shared" si="17"/>
        <v>53642.30751520714</v>
      </c>
      <c r="T58" s="245">
        <f t="shared" si="17"/>
        <v>53773.793915604365</v>
      </c>
      <c r="U58" s="245">
        <f t="shared" si="17"/>
        <v>53896.899728992736</v>
      </c>
      <c r="V58" s="245">
        <f t="shared" si="17"/>
        <v>41744.61784575393</v>
      </c>
      <c r="W58" s="245">
        <f t="shared" si="17"/>
        <v>41849.93156633696</v>
      </c>
      <c r="X58" s="245">
        <f t="shared" si="17"/>
        <v>41945.81436309451</v>
      </c>
      <c r="Y58" s="245">
        <f t="shared" si="17"/>
        <v>42031.89630321252</v>
      </c>
      <c r="Z58" s="252">
        <f t="shared" si="17"/>
        <v>42107.79713260615</v>
      </c>
      <c r="AA58" s="245">
        <f>AA55+AA57</f>
        <v>42173.12602065332</v>
      </c>
      <c r="AB58" s="245">
        <f>AB55+AB57</f>
        <v>42227.48129896637</v>
      </c>
      <c r="AC58" s="245">
        <f>AC55+AC57</f>
        <v>42270.450194067016</v>
      </c>
      <c r="AD58" s="245">
        <f>AD55+AD57</f>
        <v>42301.60855382662</v>
      </c>
      <c r="AE58" s="245">
        <f>AE55+AE57</f>
        <v>42320.520567530155</v>
      </c>
      <c r="AF58" s="249"/>
      <c r="AG58" s="246">
        <f>SUM(G58:AE58)</f>
        <v>1292574.652597301</v>
      </c>
      <c r="AH58" s="179"/>
      <c r="AI58" s="185"/>
      <c r="AJ58" s="167"/>
      <c r="AK58" s="167"/>
      <c r="AL58" s="165"/>
      <c r="AM58" s="167"/>
      <c r="AN58" s="167"/>
      <c r="AO58" s="167"/>
      <c r="AP58" s="167"/>
      <c r="AQ58" s="167"/>
      <c r="AR58" s="167"/>
      <c r="AS58" s="167"/>
      <c r="AT58" s="167"/>
      <c r="AU58" s="167"/>
      <c r="AV58" s="167"/>
      <c r="AW58" s="167"/>
      <c r="AX58" s="167"/>
      <c r="AY58" s="167"/>
      <c r="AZ58" s="167"/>
    </row>
    <row r="59" spans="2:52" ht="12.75">
      <c r="B59" s="168"/>
      <c r="C59" s="150" t="s">
        <v>65</v>
      </c>
      <c r="D59" s="219" t="s">
        <v>222</v>
      </c>
      <c r="E59" s="147"/>
      <c r="F59" s="147"/>
      <c r="G59" s="147">
        <f>G58</f>
        <v>119036.69285322251</v>
      </c>
      <c r="H59" s="147">
        <f aca="true" t="shared" si="18" ref="H59:Z59">H58</f>
        <v>52619.482368068144</v>
      </c>
      <c r="I59" s="147">
        <f t="shared" si="18"/>
        <v>52891.11399327975</v>
      </c>
      <c r="J59" s="147">
        <f t="shared" si="18"/>
        <v>53155.80461022109</v>
      </c>
      <c r="K59" s="147">
        <f t="shared" si="18"/>
        <v>53413.22195620159</v>
      </c>
      <c r="L59" s="147">
        <f t="shared" si="18"/>
        <v>53663.02402923423</v>
      </c>
      <c r="M59" s="147">
        <f t="shared" si="18"/>
        <v>53904.85884209983</v>
      </c>
      <c r="N59" s="147">
        <f t="shared" si="18"/>
        <v>54138.364170608496</v>
      </c>
      <c r="O59" s="147">
        <f t="shared" si="18"/>
        <v>54363.16729592587</v>
      </c>
      <c r="P59" s="147">
        <f t="shared" si="18"/>
        <v>54578.88474082884</v>
      </c>
      <c r="Q59" s="147">
        <f t="shared" si="18"/>
        <v>54785.12199975286</v>
      </c>
      <c r="R59" s="147">
        <f t="shared" si="18"/>
        <v>53738.67073200597</v>
      </c>
      <c r="S59" s="147">
        <f t="shared" si="18"/>
        <v>53642.30751520714</v>
      </c>
      <c r="T59" s="147">
        <f t="shared" si="18"/>
        <v>53773.793915604365</v>
      </c>
      <c r="U59" s="147">
        <f t="shared" si="18"/>
        <v>53896.899728992736</v>
      </c>
      <c r="V59" s="147">
        <f t="shared" si="18"/>
        <v>41744.61784575393</v>
      </c>
      <c r="W59" s="147">
        <f t="shared" si="18"/>
        <v>41849.93156633696</v>
      </c>
      <c r="X59" s="147">
        <f t="shared" si="18"/>
        <v>41945.81436309451</v>
      </c>
      <c r="Y59" s="147">
        <f t="shared" si="18"/>
        <v>42031.89630321252</v>
      </c>
      <c r="Z59" s="231">
        <f t="shared" si="18"/>
        <v>42107.79713260615</v>
      </c>
      <c r="AA59" s="147">
        <f>AA58</f>
        <v>42173.12602065332</v>
      </c>
      <c r="AB59" s="147">
        <f>AB58</f>
        <v>42227.48129896637</v>
      </c>
      <c r="AC59" s="147">
        <f>AC58</f>
        <v>42270.450194067016</v>
      </c>
      <c r="AD59" s="147">
        <f>AD58</f>
        <v>42301.60855382662</v>
      </c>
      <c r="AE59" s="147">
        <f>AE58</f>
        <v>42320.520567530155</v>
      </c>
      <c r="AF59" s="219"/>
      <c r="AG59" s="253"/>
      <c r="AH59" s="167"/>
      <c r="AI59" s="167"/>
      <c r="AJ59" s="167"/>
      <c r="AK59" s="167"/>
      <c r="AL59" s="167"/>
      <c r="AM59" s="167"/>
      <c r="AN59" s="167"/>
      <c r="AO59" s="167"/>
      <c r="AP59" s="167"/>
      <c r="AQ59" s="167"/>
      <c r="AR59" s="167"/>
      <c r="AS59" s="167"/>
      <c r="AT59" s="167"/>
      <c r="AU59" s="167"/>
      <c r="AV59" s="167"/>
      <c r="AW59" s="167"/>
      <c r="AX59" s="167"/>
      <c r="AY59" s="167"/>
      <c r="AZ59" s="167"/>
    </row>
    <row r="60" spans="2:52" ht="12" customHeight="1">
      <c r="B60" s="168"/>
      <c r="C60" s="150" t="s">
        <v>66</v>
      </c>
      <c r="D60" s="245" t="s">
        <v>223</v>
      </c>
      <c r="E60" s="147"/>
      <c r="F60" s="147">
        <f>-ekn</f>
        <v>-853760</v>
      </c>
      <c r="G60" s="147">
        <f aca="true" t="shared" si="19" ref="G60:AE60">F60+G51</f>
        <v>-734723.3071467775</v>
      </c>
      <c r="H60" s="147">
        <f t="shared" si="19"/>
        <v>-682103.8247787093</v>
      </c>
      <c r="I60" s="147">
        <f t="shared" si="19"/>
        <v>-629212.7107854296</v>
      </c>
      <c r="J60" s="147">
        <f t="shared" si="19"/>
        <v>-576056.9061752085</v>
      </c>
      <c r="K60" s="147">
        <f t="shared" si="19"/>
        <v>-522643.6842190069</v>
      </c>
      <c r="L60" s="147">
        <f t="shared" si="19"/>
        <v>-468980.66018977267</v>
      </c>
      <c r="M60" s="147">
        <f t="shared" si="19"/>
        <v>-415075.8013476728</v>
      </c>
      <c r="N60" s="147">
        <f t="shared" si="19"/>
        <v>-360937.4371770643</v>
      </c>
      <c r="O60" s="147">
        <f t="shared" si="19"/>
        <v>-306574.26988113846</v>
      </c>
      <c r="P60" s="147">
        <f t="shared" si="19"/>
        <v>-251995.38514030963</v>
      </c>
      <c r="Q60" s="147">
        <f t="shared" si="19"/>
        <v>-197210.26314055678</v>
      </c>
      <c r="R60" s="147">
        <f t="shared" si="19"/>
        <v>-143471.59240855082</v>
      </c>
      <c r="S60" s="147">
        <f t="shared" si="19"/>
        <v>-89829.28489334368</v>
      </c>
      <c r="T60" s="147">
        <f t="shared" si="19"/>
        <v>-36055.49097773931</v>
      </c>
      <c r="U60" s="147">
        <f t="shared" si="19"/>
        <v>17841.408751253424</v>
      </c>
      <c r="V60" s="147">
        <f t="shared" si="19"/>
        <v>59586.02659700735</v>
      </c>
      <c r="W60" s="147">
        <f t="shared" si="19"/>
        <v>101435.95816334432</v>
      </c>
      <c r="X60" s="147">
        <f t="shared" si="19"/>
        <v>143381.7725264388</v>
      </c>
      <c r="Y60" s="147">
        <f t="shared" si="19"/>
        <v>185413.66882965132</v>
      </c>
      <c r="Z60" s="231">
        <f t="shared" si="19"/>
        <v>227521.46596225747</v>
      </c>
      <c r="AA60" s="147">
        <f t="shared" si="19"/>
        <v>269694.59198291076</v>
      </c>
      <c r="AB60" s="147">
        <f t="shared" si="19"/>
        <v>311922.07328187715</v>
      </c>
      <c r="AC60" s="147">
        <f t="shared" si="19"/>
        <v>354192.5234759442</v>
      </c>
      <c r="AD60" s="147">
        <f t="shared" si="19"/>
        <v>396494.1320297708</v>
      </c>
      <c r="AE60" s="147">
        <f t="shared" si="19"/>
        <v>438814.65259730094</v>
      </c>
      <c r="AF60" s="219"/>
      <c r="AG60" s="253"/>
      <c r="AH60" s="167"/>
      <c r="AI60" s="167"/>
      <c r="AJ60" s="167"/>
      <c r="AK60" s="167"/>
      <c r="AL60" s="167"/>
      <c r="AM60" s="167"/>
      <c r="AN60" s="167"/>
      <c r="AO60" s="167"/>
      <c r="AP60" s="167"/>
      <c r="AQ60" s="167"/>
      <c r="AR60" s="167"/>
      <c r="AS60" s="167"/>
      <c r="AT60" s="167"/>
      <c r="AU60" s="167"/>
      <c r="AV60" s="167"/>
      <c r="AW60" s="167"/>
      <c r="AX60" s="167"/>
      <c r="AY60" s="167"/>
      <c r="AZ60" s="167"/>
    </row>
    <row r="61" spans="2:52" ht="12" customHeight="1">
      <c r="B61" s="168"/>
      <c r="C61" s="150" t="s">
        <v>98</v>
      </c>
      <c r="D61" s="245" t="s">
        <v>224</v>
      </c>
      <c r="E61" s="147"/>
      <c r="F61" s="147">
        <f>-ekn</f>
        <v>-853760</v>
      </c>
      <c r="G61" s="147">
        <f>G43+G19</f>
        <v>119036.69285322251</v>
      </c>
      <c r="H61" s="147">
        <f aca="true" t="shared" si="20" ref="H61:AE61">H43</f>
        <v>52619.482368068144</v>
      </c>
      <c r="I61" s="147">
        <f t="shared" si="20"/>
        <v>52891.11399327975</v>
      </c>
      <c r="J61" s="147">
        <f t="shared" si="20"/>
        <v>53155.80461022109</v>
      </c>
      <c r="K61" s="147">
        <f t="shared" si="20"/>
        <v>53413.22195620159</v>
      </c>
      <c r="L61" s="147">
        <f t="shared" si="20"/>
        <v>53663.02402923423</v>
      </c>
      <c r="M61" s="147">
        <f t="shared" si="20"/>
        <v>53904.85884209983</v>
      </c>
      <c r="N61" s="147">
        <f t="shared" si="20"/>
        <v>54138.364170608496</v>
      </c>
      <c r="O61" s="147">
        <f t="shared" si="20"/>
        <v>54363.16729592587</v>
      </c>
      <c r="P61" s="147">
        <f t="shared" si="20"/>
        <v>54578.88474082884</v>
      </c>
      <c r="Q61" s="147">
        <f t="shared" si="20"/>
        <v>54785.12199975286</v>
      </c>
      <c r="R61" s="147">
        <f t="shared" si="20"/>
        <v>54981.473262489046</v>
      </c>
      <c r="S61" s="147">
        <f t="shared" si="20"/>
        <v>55167.5211313873</v>
      </c>
      <c r="T61" s="147">
        <f t="shared" si="20"/>
        <v>55342.83633191693</v>
      </c>
      <c r="U61" s="147">
        <f t="shared" si="20"/>
        <v>55506.97741643476</v>
      </c>
      <c r="V61" s="147">
        <f t="shared" si="20"/>
        <v>55659.49046100524</v>
      </c>
      <c r="W61" s="147">
        <f t="shared" si="20"/>
        <v>55799.90875511595</v>
      </c>
      <c r="X61" s="147">
        <f t="shared" si="20"/>
        <v>55927.75248412602</v>
      </c>
      <c r="Y61" s="147">
        <f t="shared" si="20"/>
        <v>56042.52840428335</v>
      </c>
      <c r="Z61" s="147">
        <f t="shared" si="20"/>
        <v>56143.72951014154</v>
      </c>
      <c r="AA61" s="147">
        <f t="shared" si="20"/>
        <v>56230.83469420443</v>
      </c>
      <c r="AB61" s="147">
        <f t="shared" si="20"/>
        <v>56303.308398621826</v>
      </c>
      <c r="AC61" s="147">
        <f t="shared" si="20"/>
        <v>56360.60025875602</v>
      </c>
      <c r="AD61" s="147">
        <f t="shared" si="20"/>
        <v>56402.1447384355</v>
      </c>
      <c r="AE61" s="147">
        <f t="shared" si="20"/>
        <v>56427.36075670687</v>
      </c>
      <c r="AF61" s="254">
        <f>NPV(input!I14,F61:AE61)</f>
        <v>157310.777676848</v>
      </c>
      <c r="AG61" s="253">
        <f>IRR(F61:AE61)</f>
        <v>0.047149147456480245</v>
      </c>
      <c r="AH61" s="167" t="s">
        <v>99</v>
      </c>
      <c r="AI61" s="167"/>
      <c r="AJ61" s="187">
        <f>NPV(input!I14,F61:AE61)</f>
        <v>157310.777676848</v>
      </c>
      <c r="AK61" s="167" t="s">
        <v>102</v>
      </c>
      <c r="AL61" s="167"/>
      <c r="AM61" s="167"/>
      <c r="AN61" s="167"/>
      <c r="AO61" s="167"/>
      <c r="AP61" s="167"/>
      <c r="AQ61" s="167"/>
      <c r="AR61" s="167"/>
      <c r="AS61" s="167"/>
      <c r="AT61" s="167"/>
      <c r="AU61" s="167"/>
      <c r="AV61" s="167"/>
      <c r="AW61" s="167"/>
      <c r="AX61" s="167"/>
      <c r="AY61" s="167"/>
      <c r="AZ61" s="167"/>
    </row>
    <row r="62" spans="2:52" ht="12" customHeight="1">
      <c r="B62" s="168"/>
      <c r="C62" s="150" t="s">
        <v>100</v>
      </c>
      <c r="D62" s="245" t="s">
        <v>225</v>
      </c>
      <c r="E62" s="147"/>
      <c r="F62" s="147"/>
      <c r="G62" s="147">
        <f>G58-MIN(F63:AE63)</f>
        <v>1276.6928532225284</v>
      </c>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219"/>
      <c r="AG62" s="253"/>
      <c r="AH62" s="167"/>
      <c r="AI62" s="167"/>
      <c r="AJ62" s="167"/>
      <c r="AK62" s="167"/>
      <c r="AL62" s="167"/>
      <c r="AM62" s="167"/>
      <c r="AN62" s="167"/>
      <c r="AO62" s="167"/>
      <c r="AP62" s="167"/>
      <c r="AQ62" s="167"/>
      <c r="AR62" s="167"/>
      <c r="AS62" s="167"/>
      <c r="AT62" s="167"/>
      <c r="AU62" s="167"/>
      <c r="AV62" s="167"/>
      <c r="AW62" s="167"/>
      <c r="AX62" s="167"/>
      <c r="AY62" s="167"/>
      <c r="AZ62" s="167"/>
    </row>
    <row r="63" spans="2:52" ht="14.25" customHeight="1">
      <c r="B63" s="168"/>
      <c r="C63" s="255" t="s">
        <v>212</v>
      </c>
      <c r="D63" s="256"/>
      <c r="E63" s="256"/>
      <c r="F63" s="256">
        <f>G19</f>
        <v>117760</v>
      </c>
      <c r="G63" s="256">
        <f>F63+G51-G52</f>
        <v>117760</v>
      </c>
      <c r="H63" s="256">
        <f>G63+H51-H52</f>
        <v>117759.99999999999</v>
      </c>
      <c r="I63" s="256">
        <f aca="true" t="shared" si="21" ref="I63:AE63">H63+I51-I52</f>
        <v>117760</v>
      </c>
      <c r="J63" s="256">
        <f t="shared" si="21"/>
        <v>117760</v>
      </c>
      <c r="K63" s="256">
        <f t="shared" si="21"/>
        <v>117760</v>
      </c>
      <c r="L63" s="256">
        <f t="shared" si="21"/>
        <v>117760</v>
      </c>
      <c r="M63" s="256">
        <f t="shared" si="21"/>
        <v>117760.00000000001</v>
      </c>
      <c r="N63" s="256">
        <f t="shared" si="21"/>
        <v>117760.00000000003</v>
      </c>
      <c r="O63" s="256">
        <f t="shared" si="21"/>
        <v>117760.00000000003</v>
      </c>
      <c r="P63" s="256">
        <f t="shared" si="21"/>
        <v>117760.00000000004</v>
      </c>
      <c r="Q63" s="256">
        <f t="shared" si="21"/>
        <v>117760.00000000006</v>
      </c>
      <c r="R63" s="256">
        <f t="shared" si="21"/>
        <v>117760.00000000006</v>
      </c>
      <c r="S63" s="256">
        <f t="shared" si="21"/>
        <v>117760.00000000007</v>
      </c>
      <c r="T63" s="256">
        <f t="shared" si="21"/>
        <v>117760.00000000009</v>
      </c>
      <c r="U63" s="256">
        <f t="shared" si="21"/>
        <v>117760.0000000001</v>
      </c>
      <c r="V63" s="256">
        <f t="shared" si="21"/>
        <v>117760.00000000009</v>
      </c>
      <c r="W63" s="256">
        <f t="shared" si="21"/>
        <v>117760.0000000001</v>
      </c>
      <c r="X63" s="256">
        <f t="shared" si="21"/>
        <v>117760.00000000012</v>
      </c>
      <c r="Y63" s="256">
        <f t="shared" si="21"/>
        <v>117760.0000000001</v>
      </c>
      <c r="Z63" s="257">
        <f t="shared" si="21"/>
        <v>117760.00000000012</v>
      </c>
      <c r="AA63" s="256">
        <f t="shared" si="21"/>
        <v>117760.00000000012</v>
      </c>
      <c r="AB63" s="256">
        <f t="shared" si="21"/>
        <v>117760.00000000012</v>
      </c>
      <c r="AC63" s="256">
        <f t="shared" si="21"/>
        <v>117760.00000000013</v>
      </c>
      <c r="AD63" s="256">
        <f t="shared" si="21"/>
        <v>117760.00000000013</v>
      </c>
      <c r="AE63" s="256">
        <f t="shared" si="21"/>
        <v>117760.00000000015</v>
      </c>
      <c r="AF63" s="256"/>
      <c r="AG63" s="258">
        <f>MIN(F63:AE63)</f>
        <v>117759.99999999999</v>
      </c>
      <c r="AH63" s="167"/>
      <c r="AI63" s="165"/>
      <c r="AJ63" s="167"/>
      <c r="AK63" s="167"/>
      <c r="AL63" s="167"/>
      <c r="AM63" s="167"/>
      <c r="AN63" s="167"/>
      <c r="AO63" s="167"/>
      <c r="AP63" s="167"/>
      <c r="AQ63" s="167"/>
      <c r="AR63" s="167"/>
      <c r="AS63" s="167"/>
      <c r="AT63" s="167"/>
      <c r="AU63" s="167"/>
      <c r="AV63" s="167"/>
      <c r="AW63" s="167"/>
      <c r="AX63" s="167"/>
      <c r="AY63" s="167"/>
      <c r="AZ63" s="167"/>
    </row>
    <row r="64" spans="2:52" ht="13.5" customHeight="1">
      <c r="B64" s="168"/>
      <c r="C64" s="238" t="s">
        <v>67</v>
      </c>
      <c r="D64" s="147" t="s">
        <v>226</v>
      </c>
      <c r="E64" s="147"/>
      <c r="F64" s="147"/>
      <c r="G64" s="147">
        <f>(input!$J$49)*(H23+H24)</f>
        <v>0</v>
      </c>
      <c r="H64" s="147">
        <f>(input!$J$49)*(I23+I24)</f>
        <v>0</v>
      </c>
      <c r="I64" s="147">
        <f>(input!$J$49)*(J23+J24)</f>
        <v>0</v>
      </c>
      <c r="J64" s="147">
        <f>(input!$J$49)*(K23+K24)</f>
        <v>0</v>
      </c>
      <c r="K64" s="147">
        <f>(input!$J$49)*(L23+L24)</f>
        <v>0</v>
      </c>
      <c r="L64" s="147">
        <f>(input!$J$49)*(M23+M24)</f>
        <v>0</v>
      </c>
      <c r="M64" s="147">
        <f>(input!$J$49)*(N23+N24)</f>
        <v>0</v>
      </c>
      <c r="N64" s="147">
        <f>(input!$J$49)*(O23+O24)</f>
        <v>0</v>
      </c>
      <c r="O64" s="147">
        <f>(input!$J$49)*(P23+P24)</f>
        <v>0</v>
      </c>
      <c r="P64" s="147">
        <f>(input!$J$49)*(Q23+Q24)</f>
        <v>0</v>
      </c>
      <c r="Q64" s="147">
        <f>(input!$J$49)*(R23+R24)</f>
        <v>0</v>
      </c>
      <c r="R64" s="147">
        <f>(input!$J$49)*(S23+S24)</f>
        <v>0</v>
      </c>
      <c r="S64" s="147">
        <f>(input!$J$49)*(T23+T24)</f>
        <v>0</v>
      </c>
      <c r="T64" s="147">
        <f>(input!$J$49)*(U23+U24)</f>
        <v>0</v>
      </c>
      <c r="U64" s="147">
        <f>(input!$J$49)*(V23+V24)</f>
        <v>0</v>
      </c>
      <c r="V64" s="147">
        <f>(input!$J$49)*(W23+W24)</f>
        <v>0</v>
      </c>
      <c r="W64" s="147">
        <f>(input!$J$49)*(X23+X24)</f>
        <v>0</v>
      </c>
      <c r="X64" s="147">
        <f>(input!$J$49)*(Y23+Y24)</f>
        <v>0</v>
      </c>
      <c r="Y64" s="147">
        <f>(input!$J$49)*(Z23+Z24)</f>
        <v>0</v>
      </c>
      <c r="Z64" s="231">
        <f>(input!$J$49)*(AA23+AA24)</f>
        <v>0</v>
      </c>
      <c r="AA64" s="147">
        <f>(input!$J$49)*(AB23+AB24)</f>
        <v>0</v>
      </c>
      <c r="AB64" s="147">
        <f>(input!$J$49)*(AC23+AC24)</f>
        <v>0</v>
      </c>
      <c r="AC64" s="147">
        <f>(input!$J$49)*(AD23+AD24)</f>
        <v>0</v>
      </c>
      <c r="AD64" s="147">
        <f>(input!$J$49)*(AE23+AE24)</f>
        <v>0</v>
      </c>
      <c r="AE64" s="147">
        <f>(input!$J$49)*(AF23+AF24)</f>
        <v>0</v>
      </c>
      <c r="AF64" s="147"/>
      <c r="AG64" s="231"/>
      <c r="AH64" s="167"/>
      <c r="AI64" s="165"/>
      <c r="AJ64" s="167"/>
      <c r="AK64" s="167"/>
      <c r="AL64" s="167"/>
      <c r="AM64" s="167"/>
      <c r="AN64" s="167"/>
      <c r="AO64" s="167"/>
      <c r="AP64" s="167"/>
      <c r="AQ64" s="167"/>
      <c r="AR64" s="167"/>
      <c r="AS64" s="167"/>
      <c r="AT64" s="167"/>
      <c r="AU64" s="167"/>
      <c r="AV64" s="167"/>
      <c r="AW64" s="167"/>
      <c r="AX64" s="167"/>
      <c r="AY64" s="167"/>
      <c r="AZ64" s="167"/>
    </row>
    <row r="65" spans="2:33" ht="12.75">
      <c r="B65" s="168"/>
      <c r="C65" s="259" t="s">
        <v>68</v>
      </c>
      <c r="D65" s="147" t="s">
        <v>227</v>
      </c>
      <c r="E65" s="147"/>
      <c r="F65" s="147"/>
      <c r="G65" s="260" t="str">
        <f aca="true" t="shared" si="22" ref="G65:U65">IF(SUM(G23:G24)&lt;=0.49,"-",(G43+SUM(G23:G24))/SUM(G23:G24))</f>
        <v>-</v>
      </c>
      <c r="H65" s="260" t="str">
        <f t="shared" si="22"/>
        <v>-</v>
      </c>
      <c r="I65" s="260" t="str">
        <f t="shared" si="22"/>
        <v>-</v>
      </c>
      <c r="J65" s="260" t="str">
        <f t="shared" si="22"/>
        <v>-</v>
      </c>
      <c r="K65" s="260" t="str">
        <f t="shared" si="22"/>
        <v>-</v>
      </c>
      <c r="L65" s="260" t="str">
        <f t="shared" si="22"/>
        <v>-</v>
      </c>
      <c r="M65" s="260" t="str">
        <f t="shared" si="22"/>
        <v>-</v>
      </c>
      <c r="N65" s="260" t="str">
        <f t="shared" si="22"/>
        <v>-</v>
      </c>
      <c r="O65" s="260" t="str">
        <f t="shared" si="22"/>
        <v>-</v>
      </c>
      <c r="P65" s="260" t="str">
        <f t="shared" si="22"/>
        <v>-</v>
      </c>
      <c r="Q65" s="260" t="str">
        <f t="shared" si="22"/>
        <v>-</v>
      </c>
      <c r="R65" s="260" t="str">
        <f t="shared" si="22"/>
        <v>-</v>
      </c>
      <c r="S65" s="260" t="str">
        <f t="shared" si="22"/>
        <v>-</v>
      </c>
      <c r="T65" s="260" t="str">
        <f t="shared" si="22"/>
        <v>-</v>
      </c>
      <c r="U65" s="260" t="str">
        <f t="shared" si="22"/>
        <v>-</v>
      </c>
      <c r="V65" s="261"/>
      <c r="W65" s="261"/>
      <c r="X65" s="261"/>
      <c r="Y65" s="261"/>
      <c r="Z65" s="262"/>
      <c r="AA65" s="261"/>
      <c r="AB65" s="261"/>
      <c r="AC65" s="261"/>
      <c r="AD65" s="261"/>
      <c r="AE65" s="261"/>
      <c r="AF65" s="261"/>
      <c r="AG65" s="229"/>
    </row>
    <row r="66" spans="2:33" ht="16.5" customHeight="1" thickBot="1">
      <c r="B66" s="168"/>
      <c r="C66" s="263"/>
      <c r="D66" s="264" t="s">
        <v>174</v>
      </c>
      <c r="E66" s="265"/>
      <c r="F66" s="265"/>
      <c r="G66" s="266">
        <f>F66+1</f>
        <v>1</v>
      </c>
      <c r="H66" s="266">
        <f aca="true" t="shared" si="23" ref="H66:Z66">G66+1</f>
        <v>2</v>
      </c>
      <c r="I66" s="266">
        <f t="shared" si="23"/>
        <v>3</v>
      </c>
      <c r="J66" s="266">
        <f t="shared" si="23"/>
        <v>4</v>
      </c>
      <c r="K66" s="266">
        <f t="shared" si="23"/>
        <v>5</v>
      </c>
      <c r="L66" s="266">
        <f t="shared" si="23"/>
        <v>6</v>
      </c>
      <c r="M66" s="266">
        <f t="shared" si="23"/>
        <v>7</v>
      </c>
      <c r="N66" s="266">
        <f t="shared" si="23"/>
        <v>8</v>
      </c>
      <c r="O66" s="266">
        <f t="shared" si="23"/>
        <v>9</v>
      </c>
      <c r="P66" s="266">
        <f t="shared" si="23"/>
        <v>10</v>
      </c>
      <c r="Q66" s="266">
        <f t="shared" si="23"/>
        <v>11</v>
      </c>
      <c r="R66" s="266">
        <f t="shared" si="23"/>
        <v>12</v>
      </c>
      <c r="S66" s="266">
        <f t="shared" si="23"/>
        <v>13</v>
      </c>
      <c r="T66" s="266">
        <f t="shared" si="23"/>
        <v>14</v>
      </c>
      <c r="U66" s="266">
        <f t="shared" si="23"/>
        <v>15</v>
      </c>
      <c r="V66" s="266">
        <f t="shared" si="23"/>
        <v>16</v>
      </c>
      <c r="W66" s="266">
        <f t="shared" si="23"/>
        <v>17</v>
      </c>
      <c r="X66" s="266">
        <f t="shared" si="23"/>
        <v>18</v>
      </c>
      <c r="Y66" s="266">
        <f t="shared" si="23"/>
        <v>19</v>
      </c>
      <c r="Z66" s="267">
        <f t="shared" si="23"/>
        <v>20</v>
      </c>
      <c r="AA66" s="266">
        <f>Z66+1</f>
        <v>21</v>
      </c>
      <c r="AB66" s="266">
        <f>AA66+1</f>
        <v>22</v>
      </c>
      <c r="AC66" s="266">
        <f>AB66+1</f>
        <v>23</v>
      </c>
      <c r="AD66" s="266">
        <f>AC66+1</f>
        <v>24</v>
      </c>
      <c r="AE66" s="266">
        <f>AD66+1</f>
        <v>25</v>
      </c>
      <c r="AF66" s="266"/>
      <c r="AG66" s="267"/>
    </row>
    <row r="67" spans="3:33" ht="14.25" customHeight="1">
      <c r="C67" s="15"/>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2"/>
    </row>
    <row r="68" spans="3:33" ht="15" customHeight="1" thickBot="1">
      <c r="C68" s="268" t="s">
        <v>213</v>
      </c>
      <c r="D68" s="269"/>
      <c r="E68" s="269"/>
      <c r="F68" s="269"/>
      <c r="G68" s="269"/>
      <c r="H68" s="269"/>
      <c r="I68" s="269"/>
      <c r="J68" s="270"/>
      <c r="K68" s="270"/>
      <c r="L68" s="270"/>
      <c r="M68" s="270"/>
      <c r="N68" s="270"/>
      <c r="O68" s="270"/>
      <c r="P68" s="270"/>
      <c r="Q68" s="270"/>
      <c r="R68" s="270"/>
      <c r="S68" s="270"/>
      <c r="T68" s="270"/>
      <c r="U68" s="271"/>
      <c r="V68" s="270"/>
      <c r="W68" s="270"/>
      <c r="X68" s="270"/>
      <c r="Y68" s="270"/>
      <c r="Z68" s="270"/>
      <c r="AA68" s="270"/>
      <c r="AB68" s="270"/>
      <c r="AC68" s="270"/>
      <c r="AD68" s="270"/>
      <c r="AE68" s="270"/>
      <c r="AF68" s="270"/>
      <c r="AG68" s="272"/>
    </row>
    <row r="69" spans="3:33" ht="15" customHeight="1">
      <c r="C69" s="227"/>
      <c r="D69" s="273" t="s">
        <v>228</v>
      </c>
      <c r="E69" s="273"/>
      <c r="F69" s="273"/>
      <c r="G69" s="273"/>
      <c r="H69" s="273"/>
      <c r="I69" s="274">
        <f>is*D2</f>
        <v>853760</v>
      </c>
      <c r="J69" s="273"/>
      <c r="K69" s="211"/>
      <c r="L69" s="273" t="s">
        <v>239</v>
      </c>
      <c r="M69" s="273"/>
      <c r="N69" s="273"/>
      <c r="O69" s="273"/>
      <c r="P69" s="211"/>
      <c r="Q69" s="274">
        <f>AVERAGE(G17:Z17)</f>
        <v>110209.9688865012</v>
      </c>
      <c r="R69" s="275"/>
      <c r="S69" s="211"/>
      <c r="T69" s="211"/>
      <c r="U69" s="276" t="str">
        <f>IF(E5="Deutsch","Cash Flow / Umsatz","cash flow / total income")</f>
        <v>cash flow / total income</v>
      </c>
      <c r="V69" s="273"/>
      <c r="W69" s="273"/>
      <c r="X69" s="273"/>
      <c r="Y69" s="273"/>
      <c r="Z69" s="277">
        <f>AG43/AG20</f>
        <v>0.4639535222022478</v>
      </c>
      <c r="AA69" s="277"/>
      <c r="AB69" s="277"/>
      <c r="AC69" s="277"/>
      <c r="AD69" s="277"/>
      <c r="AE69" s="277"/>
      <c r="AF69" s="273"/>
      <c r="AG69" s="278"/>
    </row>
    <row r="70" spans="3:33" ht="15" customHeight="1">
      <c r="C70" s="150"/>
      <c r="D70" s="276" t="s">
        <v>229</v>
      </c>
      <c r="E70" s="219"/>
      <c r="F70" s="219"/>
      <c r="G70" s="276"/>
      <c r="H70" s="279">
        <f>I70/I69</f>
        <v>1</v>
      </c>
      <c r="I70" s="280">
        <f>ekn</f>
        <v>853760</v>
      </c>
      <c r="J70" s="276"/>
      <c r="K70" s="219"/>
      <c r="L70" s="280" t="s">
        <v>240</v>
      </c>
      <c r="M70" s="276"/>
      <c r="N70" s="276"/>
      <c r="O70" s="276"/>
      <c r="P70" s="219"/>
      <c r="Q70" s="281">
        <f>AVERAGE(G14:Z14)</f>
        <v>0.3702186736533926</v>
      </c>
      <c r="R70" s="282"/>
      <c r="S70" s="219"/>
      <c r="T70" s="219"/>
      <c r="U70" s="276" t="str">
        <f>IF(E5="Deutsch","Rohmarge UK / Investitionssumme","gross margin/capital investment")</f>
        <v>gross margin/capital investment</v>
      </c>
      <c r="V70" s="276"/>
      <c r="W70" s="276"/>
      <c r="X70" s="276"/>
      <c r="Y70" s="276"/>
      <c r="Z70" s="283">
        <f>input!E45/is</f>
        <v>0</v>
      </c>
      <c r="AA70" s="283"/>
      <c r="AB70" s="283"/>
      <c r="AC70" s="283"/>
      <c r="AD70" s="283"/>
      <c r="AE70" s="283"/>
      <c r="AF70" s="276"/>
      <c r="AG70" s="284"/>
    </row>
    <row r="71" spans="3:33" ht="15" customHeight="1">
      <c r="C71" s="150"/>
      <c r="D71" s="276" t="s">
        <v>230</v>
      </c>
      <c r="E71" s="276"/>
      <c r="F71" s="276"/>
      <c r="G71" s="276"/>
      <c r="H71" s="276"/>
      <c r="I71" s="276">
        <f>input!E21</f>
        <v>230</v>
      </c>
      <c r="J71" s="276" t="s">
        <v>29</v>
      </c>
      <c r="K71" s="219"/>
      <c r="L71" s="276" t="s">
        <v>241</v>
      </c>
      <c r="M71" s="285"/>
      <c r="N71" s="276"/>
      <c r="O71" s="276"/>
      <c r="P71" s="219"/>
      <c r="Q71" s="286" t="e">
        <f>AVERAGE(G65:Z65)</f>
        <v>#DIV/0!</v>
      </c>
      <c r="R71" s="287"/>
      <c r="S71" s="219"/>
      <c r="T71" s="219"/>
      <c r="U71" s="276" t="str">
        <f>IF(E5="Deutsch","Rohmarge UK / Materialeinsatz","gross margin/material usage")</f>
        <v>gross margin/material usage</v>
      </c>
      <c r="V71" s="276"/>
      <c r="W71" s="276"/>
      <c r="X71" s="276"/>
      <c r="Y71" s="276"/>
      <c r="Z71" s="283">
        <f>input!E45/kp</f>
        <v>0</v>
      </c>
      <c r="AA71" s="283"/>
      <c r="AB71" s="283"/>
      <c r="AC71" s="283"/>
      <c r="AD71" s="283"/>
      <c r="AE71" s="283"/>
      <c r="AF71" s="217"/>
      <c r="AG71" s="284"/>
    </row>
    <row r="72" spans="3:33" ht="15" customHeight="1">
      <c r="C72" s="150"/>
      <c r="D72" s="276" t="s">
        <v>231</v>
      </c>
      <c r="E72" s="219"/>
      <c r="F72" s="219"/>
      <c r="G72" s="219"/>
      <c r="H72" s="276"/>
      <c r="I72" s="280">
        <f>input!E27</f>
        <v>327750</v>
      </c>
      <c r="J72" s="276" t="s">
        <v>30</v>
      </c>
      <c r="K72" s="219"/>
      <c r="L72" s="280" t="s">
        <v>242</v>
      </c>
      <c r="M72" s="276"/>
      <c r="N72" s="276"/>
      <c r="O72" s="276"/>
      <c r="P72" s="219"/>
      <c r="Q72" s="283">
        <f>AG61</f>
        <v>0.047149147456480245</v>
      </c>
      <c r="R72" s="287"/>
      <c r="S72" s="219"/>
      <c r="T72" s="219"/>
      <c r="U72" s="276" t="str">
        <f>IF(input!C8="Deutsch","Sofortumsatz UK","COSTE LEGALIZACION")</f>
        <v>COSTE LEGALIZACION</v>
      </c>
      <c r="V72" s="276"/>
      <c r="W72" s="276"/>
      <c r="X72" s="276"/>
      <c r="Y72" s="276"/>
      <c r="Z72" s="280">
        <f>input!E45</f>
        <v>0</v>
      </c>
      <c r="AA72" s="280"/>
      <c r="AB72" s="280"/>
      <c r="AC72" s="280"/>
      <c r="AD72" s="280"/>
      <c r="AE72" s="280"/>
      <c r="AF72" s="276" t="str">
        <f>IF(E4="DM","DM","€")</f>
        <v>€</v>
      </c>
      <c r="AG72" s="284"/>
    </row>
    <row r="73" spans="3:38" ht="15" customHeight="1">
      <c r="C73" s="150"/>
      <c r="D73" s="276" t="s">
        <v>232</v>
      </c>
      <c r="E73" s="219"/>
      <c r="F73" s="219"/>
      <c r="G73" s="219"/>
      <c r="H73" s="276"/>
      <c r="I73" s="288">
        <f>input!D26</f>
        <v>0</v>
      </c>
      <c r="J73" s="276"/>
      <c r="K73" s="219"/>
      <c r="L73" s="276" t="s">
        <v>198</v>
      </c>
      <c r="M73" s="276"/>
      <c r="N73" s="276"/>
      <c r="O73" s="276"/>
      <c r="P73" s="219"/>
      <c r="Q73" s="289">
        <f>AF61</f>
        <v>157310.777676848</v>
      </c>
      <c r="R73" s="276" t="s">
        <v>96</v>
      </c>
      <c r="S73" s="219"/>
      <c r="T73" s="219"/>
      <c r="U73" s="276" t="str">
        <f>IF(input!C8="Deutsch","Stromgestehungskosten","medium power production costs")</f>
        <v>medium power production costs</v>
      </c>
      <c r="V73" s="219"/>
      <c r="W73" s="219"/>
      <c r="X73" s="219"/>
      <c r="Y73" s="219"/>
      <c r="Z73" s="290">
        <f>AG40/(25*input!E27)</f>
        <v>0.1862843705611382</v>
      </c>
      <c r="AA73" s="290"/>
      <c r="AB73" s="290"/>
      <c r="AC73" s="290"/>
      <c r="AD73" s="290"/>
      <c r="AE73" s="290"/>
      <c r="AF73" s="486" t="str">
        <f>IF(E4="DM","DM/kWh","€/kWh")</f>
        <v>€/kWh</v>
      </c>
      <c r="AG73" s="487"/>
      <c r="AI73" s="184"/>
      <c r="AJ73" s="184"/>
      <c r="AK73" s="184"/>
      <c r="AL73" s="184"/>
    </row>
    <row r="74" spans="3:33" ht="15" customHeight="1">
      <c r="C74" s="150"/>
      <c r="D74" s="276"/>
      <c r="E74" s="276"/>
      <c r="F74" s="276"/>
      <c r="G74" s="276"/>
      <c r="H74" s="276"/>
      <c r="I74" s="280"/>
      <c r="J74" s="276"/>
      <c r="K74" s="219"/>
      <c r="L74" s="276" t="s">
        <v>243</v>
      </c>
      <c r="M74" s="217"/>
      <c r="N74" s="217"/>
      <c r="O74" s="217"/>
      <c r="P74" s="217"/>
      <c r="Q74" s="291">
        <f>MAX(G80:Z80)</f>
        <v>15</v>
      </c>
      <c r="R74" s="276" t="s">
        <v>36</v>
      </c>
      <c r="S74" s="219"/>
      <c r="T74" s="219"/>
      <c r="U74" s="287"/>
      <c r="V74" s="219"/>
      <c r="W74" s="219"/>
      <c r="X74" s="217"/>
      <c r="Y74" s="219"/>
      <c r="Z74" s="219"/>
      <c r="AA74" s="219"/>
      <c r="AB74" s="219"/>
      <c r="AC74" s="219"/>
      <c r="AD74" s="219"/>
      <c r="AE74" s="219"/>
      <c r="AF74" s="219"/>
      <c r="AG74" s="229"/>
    </row>
    <row r="75" spans="3:33" ht="15" customHeight="1">
      <c r="C75" s="150"/>
      <c r="D75" s="276" t="s">
        <v>233</v>
      </c>
      <c r="E75" s="276"/>
      <c r="F75" s="276"/>
      <c r="G75" s="276"/>
      <c r="H75" s="276"/>
      <c r="I75" s="280">
        <f>I69/I71</f>
        <v>3712</v>
      </c>
      <c r="J75" s="276" t="s">
        <v>28</v>
      </c>
      <c r="K75" s="219"/>
      <c r="L75" s="276" t="s">
        <v>244</v>
      </c>
      <c r="M75" s="276"/>
      <c r="N75" s="276"/>
      <c r="O75" s="276"/>
      <c r="P75" s="219"/>
      <c r="Q75" s="288">
        <f>AG51</f>
        <v>0.03944166648078817</v>
      </c>
      <c r="R75" s="276"/>
      <c r="S75" s="219"/>
      <c r="T75" s="219"/>
      <c r="U75" s="287"/>
      <c r="V75" s="219"/>
      <c r="W75" s="219"/>
      <c r="X75" s="217"/>
      <c r="Y75" s="219"/>
      <c r="Z75" s="219"/>
      <c r="AA75" s="219"/>
      <c r="AB75" s="219"/>
      <c r="AC75" s="219"/>
      <c r="AD75" s="219"/>
      <c r="AE75" s="219"/>
      <c r="AF75" s="219"/>
      <c r="AG75" s="229"/>
    </row>
    <row r="76" spans="3:33" ht="18" customHeight="1" thickBot="1">
      <c r="C76" s="292"/>
      <c r="D76" s="293" t="s">
        <v>234</v>
      </c>
      <c r="E76" s="294"/>
      <c r="F76" s="294"/>
      <c r="G76" s="294"/>
      <c r="H76" s="294"/>
      <c r="I76" s="295">
        <f>(AG27+AG28)/(20*input!E27)*100</f>
        <v>2.3740693456862547</v>
      </c>
      <c r="J76" s="293" t="s">
        <v>26</v>
      </c>
      <c r="K76" s="294"/>
      <c r="L76" s="293" t="s">
        <v>245</v>
      </c>
      <c r="M76" s="296"/>
      <c r="N76" s="293"/>
      <c r="O76" s="293"/>
      <c r="P76" s="294"/>
      <c r="Q76" s="297">
        <f>AF51</f>
        <v>78880.86289820075</v>
      </c>
      <c r="R76" s="298" t="s">
        <v>96</v>
      </c>
      <c r="S76" s="294"/>
      <c r="T76" s="294"/>
      <c r="U76" s="294"/>
      <c r="V76" s="294"/>
      <c r="W76" s="294"/>
      <c r="X76" s="294"/>
      <c r="Y76" s="294"/>
      <c r="Z76" s="294"/>
      <c r="AA76" s="294"/>
      <c r="AB76" s="294"/>
      <c r="AC76" s="294"/>
      <c r="AD76" s="294"/>
      <c r="AE76" s="294"/>
      <c r="AF76" s="294"/>
      <c r="AG76" s="299"/>
    </row>
    <row r="77" spans="10:13" s="161" customFormat="1" ht="15" customHeight="1">
      <c r="J77" s="167"/>
      <c r="K77" s="167"/>
      <c r="L77" s="167"/>
      <c r="M77" s="167"/>
    </row>
    <row r="78" spans="10:13" s="161" customFormat="1" ht="15" customHeight="1">
      <c r="J78" s="167"/>
      <c r="K78" s="167"/>
      <c r="L78" s="167"/>
      <c r="M78" s="167"/>
    </row>
    <row r="79" s="161" customFormat="1" ht="12.75"/>
    <row r="80" spans="4:31" s="161" customFormat="1" ht="12.75">
      <c r="D80" s="161" t="s">
        <v>246</v>
      </c>
      <c r="G80" s="161">
        <f aca="true" t="shared" si="24" ref="G80:AE80">IF(AND(G60&lt;0,H60&gt;=0),G13+1,0)</f>
        <v>0</v>
      </c>
      <c r="H80" s="161">
        <f t="shared" si="24"/>
        <v>0</v>
      </c>
      <c r="I80" s="161">
        <f t="shared" si="24"/>
        <v>0</v>
      </c>
      <c r="J80" s="161">
        <f t="shared" si="24"/>
        <v>0</v>
      </c>
      <c r="K80" s="161">
        <f t="shared" si="24"/>
        <v>0</v>
      </c>
      <c r="L80" s="161">
        <f t="shared" si="24"/>
        <v>0</v>
      </c>
      <c r="M80" s="161">
        <f t="shared" si="24"/>
        <v>0</v>
      </c>
      <c r="N80" s="161">
        <f t="shared" si="24"/>
        <v>0</v>
      </c>
      <c r="O80" s="161">
        <f t="shared" si="24"/>
        <v>0</v>
      </c>
      <c r="P80" s="161">
        <f t="shared" si="24"/>
        <v>0</v>
      </c>
      <c r="Q80" s="161">
        <f t="shared" si="24"/>
        <v>0</v>
      </c>
      <c r="R80" s="161">
        <f t="shared" si="24"/>
        <v>0</v>
      </c>
      <c r="S80" s="161">
        <f t="shared" si="24"/>
        <v>0</v>
      </c>
      <c r="T80" s="161">
        <f t="shared" si="24"/>
        <v>15</v>
      </c>
      <c r="U80" s="161">
        <f t="shared" si="24"/>
        <v>0</v>
      </c>
      <c r="V80" s="161">
        <f t="shared" si="24"/>
        <v>0</v>
      </c>
      <c r="W80" s="161">
        <f t="shared" si="24"/>
        <v>0</v>
      </c>
      <c r="X80" s="161">
        <f t="shared" si="24"/>
        <v>0</v>
      </c>
      <c r="Y80" s="161">
        <f t="shared" si="24"/>
        <v>0</v>
      </c>
      <c r="Z80" s="161">
        <f t="shared" si="24"/>
        <v>0</v>
      </c>
      <c r="AA80" s="161">
        <f t="shared" si="24"/>
        <v>0</v>
      </c>
      <c r="AB80" s="161">
        <f t="shared" si="24"/>
        <v>0</v>
      </c>
      <c r="AC80" s="161">
        <f t="shared" si="24"/>
        <v>0</v>
      </c>
      <c r="AD80" s="161">
        <f t="shared" si="24"/>
        <v>0</v>
      </c>
      <c r="AE80" s="161">
        <f t="shared" si="24"/>
        <v>0</v>
      </c>
    </row>
    <row r="81" spans="2:31" s="161" customFormat="1" ht="12.75">
      <c r="B81" s="161" t="s">
        <v>3</v>
      </c>
      <c r="C81" s="171"/>
      <c r="D81" s="161" t="s">
        <v>174</v>
      </c>
      <c r="G81" s="172">
        <f aca="true" t="shared" si="25" ref="G81:Z81">G13</f>
        <v>1</v>
      </c>
      <c r="H81" s="172">
        <f t="shared" si="25"/>
        <v>2</v>
      </c>
      <c r="I81" s="172">
        <f t="shared" si="25"/>
        <v>3</v>
      </c>
      <c r="J81" s="172">
        <f t="shared" si="25"/>
        <v>4</v>
      </c>
      <c r="K81" s="172">
        <f t="shared" si="25"/>
        <v>5</v>
      </c>
      <c r="L81" s="172">
        <f t="shared" si="25"/>
        <v>6</v>
      </c>
      <c r="M81" s="172">
        <f t="shared" si="25"/>
        <v>7</v>
      </c>
      <c r="N81" s="172">
        <f t="shared" si="25"/>
        <v>8</v>
      </c>
      <c r="O81" s="172">
        <f t="shared" si="25"/>
        <v>9</v>
      </c>
      <c r="P81" s="172">
        <f t="shared" si="25"/>
        <v>10</v>
      </c>
      <c r="Q81" s="172">
        <f t="shared" si="25"/>
        <v>11</v>
      </c>
      <c r="R81" s="172">
        <f t="shared" si="25"/>
        <v>12</v>
      </c>
      <c r="S81" s="172">
        <f t="shared" si="25"/>
        <v>13</v>
      </c>
      <c r="T81" s="172">
        <f t="shared" si="25"/>
        <v>14</v>
      </c>
      <c r="U81" s="172">
        <f t="shared" si="25"/>
        <v>15</v>
      </c>
      <c r="V81" s="172">
        <f t="shared" si="25"/>
        <v>16</v>
      </c>
      <c r="W81" s="172">
        <f t="shared" si="25"/>
        <v>17</v>
      </c>
      <c r="X81" s="172">
        <f t="shared" si="25"/>
        <v>18</v>
      </c>
      <c r="Y81" s="172">
        <f t="shared" si="25"/>
        <v>19</v>
      </c>
      <c r="Z81" s="172">
        <f t="shared" si="25"/>
        <v>20</v>
      </c>
      <c r="AA81" s="172">
        <f>AA13</f>
        <v>21</v>
      </c>
      <c r="AB81" s="172">
        <f>AB13</f>
        <v>22</v>
      </c>
      <c r="AC81" s="172">
        <f>AC13</f>
        <v>23</v>
      </c>
      <c r="AD81" s="172">
        <f>AD13</f>
        <v>24</v>
      </c>
      <c r="AE81" s="172">
        <f>AE13</f>
        <v>25</v>
      </c>
    </row>
    <row r="82" spans="2:31" s="161" customFormat="1" ht="12.75">
      <c r="B82" s="161" t="s">
        <v>3</v>
      </c>
      <c r="D82" s="161" t="s">
        <v>247</v>
      </c>
      <c r="G82" s="164">
        <f aca="true" t="shared" si="26" ref="G82:AE82">IF(AND(G85&lt;0,H85&gt;=0),G13+1,0)</f>
        <v>0</v>
      </c>
      <c r="H82" s="164">
        <f t="shared" si="26"/>
        <v>0</v>
      </c>
      <c r="I82" s="164">
        <f t="shared" si="26"/>
        <v>0</v>
      </c>
      <c r="J82" s="164">
        <f t="shared" si="26"/>
        <v>0</v>
      </c>
      <c r="K82" s="164">
        <f t="shared" si="26"/>
        <v>0</v>
      </c>
      <c r="L82" s="164">
        <f t="shared" si="26"/>
        <v>0</v>
      </c>
      <c r="M82" s="164">
        <f t="shared" si="26"/>
        <v>0</v>
      </c>
      <c r="N82" s="164">
        <f t="shared" si="26"/>
        <v>0</v>
      </c>
      <c r="O82" s="164">
        <f t="shared" si="26"/>
        <v>0</v>
      </c>
      <c r="P82" s="164">
        <f t="shared" si="26"/>
        <v>0</v>
      </c>
      <c r="Q82" s="164">
        <f t="shared" si="26"/>
        <v>0</v>
      </c>
      <c r="R82" s="164">
        <f t="shared" si="26"/>
        <v>0</v>
      </c>
      <c r="S82" s="164">
        <f t="shared" si="26"/>
        <v>0</v>
      </c>
      <c r="T82" s="164">
        <f t="shared" si="26"/>
        <v>15</v>
      </c>
      <c r="U82" s="164">
        <f t="shared" si="26"/>
        <v>0</v>
      </c>
      <c r="V82" s="164">
        <f t="shared" si="26"/>
        <v>0</v>
      </c>
      <c r="W82" s="164">
        <f t="shared" si="26"/>
        <v>0</v>
      </c>
      <c r="X82" s="164">
        <f t="shared" si="26"/>
        <v>0</v>
      </c>
      <c r="Y82" s="164">
        <f t="shared" si="26"/>
        <v>0</v>
      </c>
      <c r="Z82" s="164">
        <f t="shared" si="26"/>
        <v>0</v>
      </c>
      <c r="AA82" s="164">
        <f t="shared" si="26"/>
        <v>0</v>
      </c>
      <c r="AB82" s="164">
        <f t="shared" si="26"/>
        <v>0</v>
      </c>
      <c r="AC82" s="164">
        <f t="shared" si="26"/>
        <v>0</v>
      </c>
      <c r="AD82" s="164">
        <f t="shared" si="26"/>
        <v>0</v>
      </c>
      <c r="AE82" s="164">
        <f t="shared" si="26"/>
        <v>0</v>
      </c>
    </row>
    <row r="83" spans="2:31" s="161" customFormat="1" ht="12.75">
      <c r="B83" s="161" t="s">
        <v>3</v>
      </c>
      <c r="D83" s="161" t="s">
        <v>222</v>
      </c>
      <c r="G83" s="164">
        <f aca="true" t="shared" si="27" ref="G83:U83">IF(G59&gt;0,G59,0)</f>
        <v>119036.69285322251</v>
      </c>
      <c r="H83" s="164">
        <f t="shared" si="27"/>
        <v>52619.482368068144</v>
      </c>
      <c r="I83" s="164">
        <f t="shared" si="27"/>
        <v>52891.11399327975</v>
      </c>
      <c r="J83" s="164">
        <f t="shared" si="27"/>
        <v>53155.80461022109</v>
      </c>
      <c r="K83" s="164">
        <f t="shared" si="27"/>
        <v>53413.22195620159</v>
      </c>
      <c r="L83" s="164">
        <f t="shared" si="27"/>
        <v>53663.02402923423</v>
      </c>
      <c r="M83" s="164">
        <f t="shared" si="27"/>
        <v>53904.85884209983</v>
      </c>
      <c r="N83" s="164">
        <f t="shared" si="27"/>
        <v>54138.364170608496</v>
      </c>
      <c r="O83" s="164">
        <f t="shared" si="27"/>
        <v>54363.16729592587</v>
      </c>
      <c r="P83" s="164">
        <f t="shared" si="27"/>
        <v>54578.88474082884</v>
      </c>
      <c r="Q83" s="164">
        <f t="shared" si="27"/>
        <v>54785.12199975286</v>
      </c>
      <c r="R83" s="164">
        <f t="shared" si="27"/>
        <v>53738.67073200597</v>
      </c>
      <c r="S83" s="164">
        <f t="shared" si="27"/>
        <v>53642.30751520714</v>
      </c>
      <c r="T83" s="164">
        <f t="shared" si="27"/>
        <v>53773.793915604365</v>
      </c>
      <c r="U83" s="164">
        <f t="shared" si="27"/>
        <v>53896.899728992736</v>
      </c>
      <c r="V83" s="164">
        <f>IF(V59&gt;0,V59,0)</f>
        <v>41744.61784575393</v>
      </c>
      <c r="W83" s="164">
        <f>IF(W59&gt;0,W59,0)</f>
        <v>41849.93156633696</v>
      </c>
      <c r="X83" s="164">
        <f aca="true" t="shared" si="28" ref="X83:AE83">IF(X59&gt;0,X59,0)</f>
        <v>41945.81436309451</v>
      </c>
      <c r="Y83" s="164">
        <f t="shared" si="28"/>
        <v>42031.89630321252</v>
      </c>
      <c r="Z83" s="164">
        <f t="shared" si="28"/>
        <v>42107.79713260615</v>
      </c>
      <c r="AA83" s="164">
        <f t="shared" si="28"/>
        <v>42173.12602065332</v>
      </c>
      <c r="AB83" s="164">
        <f t="shared" si="28"/>
        <v>42227.48129896637</v>
      </c>
      <c r="AC83" s="164">
        <f t="shared" si="28"/>
        <v>42270.450194067016</v>
      </c>
      <c r="AD83" s="164">
        <f t="shared" si="28"/>
        <v>42301.60855382662</v>
      </c>
      <c r="AE83" s="164">
        <f t="shared" si="28"/>
        <v>42320.520567530155</v>
      </c>
    </row>
    <row r="84" s="161" customFormat="1" ht="12.75"/>
    <row r="85" spans="4:31" s="161" customFormat="1" ht="12.75">
      <c r="D85" s="161" t="s">
        <v>248</v>
      </c>
      <c r="E85" s="173">
        <v>-1</v>
      </c>
      <c r="F85" s="173"/>
      <c r="G85" s="174">
        <f>-100%+G53</f>
        <v>-0.8605735887682457</v>
      </c>
      <c r="H85" s="174">
        <f aca="true" t="shared" si="29" ref="H85:AE85">G85+H53</f>
        <v>-0.798940949187956</v>
      </c>
      <c r="I85" s="174">
        <f t="shared" si="29"/>
        <v>-0.7369901503764871</v>
      </c>
      <c r="J85" s="174">
        <f t="shared" si="29"/>
        <v>-0.674729322262941</v>
      </c>
      <c r="K85" s="174">
        <f t="shared" si="29"/>
        <v>-0.6121669839521726</v>
      </c>
      <c r="L85" s="174">
        <f t="shared" si="29"/>
        <v>-0.5493120551323236</v>
      </c>
      <c r="M85" s="174">
        <f t="shared" si="29"/>
        <v>-0.4861738677704188</v>
      </c>
      <c r="N85" s="174">
        <f t="shared" si="29"/>
        <v>-0.4227621781028208</v>
      </c>
      <c r="O85" s="174">
        <f t="shared" si="29"/>
        <v>-0.3590871789274953</v>
      </c>
      <c r="P85" s="174">
        <f t="shared" si="29"/>
        <v>-0.29515951220519765</v>
      </c>
      <c r="Q85" s="174">
        <f t="shared" si="29"/>
        <v>-0.23099028197685145</v>
      </c>
      <c r="R85" s="174">
        <f t="shared" si="29"/>
        <v>-0.16804674897928074</v>
      </c>
      <c r="S85" s="174">
        <f t="shared" si="29"/>
        <v>-0.10521608519179111</v>
      </c>
      <c r="T85" s="174">
        <f t="shared" si="29"/>
        <v>-0.04223141278314657</v>
      </c>
      <c r="U85" s="174">
        <f t="shared" si="29"/>
        <v>0.02089745215429807</v>
      </c>
      <c r="V85" s="174">
        <f t="shared" si="29"/>
        <v>0.06979247867902859</v>
      </c>
      <c r="W85" s="174">
        <f t="shared" si="29"/>
        <v>0.11881085804364741</v>
      </c>
      <c r="X85" s="174">
        <f t="shared" si="29"/>
        <v>0.16794154390746688</v>
      </c>
      <c r="Y85" s="174">
        <f t="shared" si="29"/>
        <v>0.21717305663143205</v>
      </c>
      <c r="Z85" s="174">
        <f t="shared" si="29"/>
        <v>0.26649347118892613</v>
      </c>
      <c r="AA85" s="174">
        <f t="shared" si="29"/>
        <v>0.3158904047775849</v>
      </c>
      <c r="AB85" s="174">
        <f t="shared" si="29"/>
        <v>0.3653510041251373</v>
      </c>
      <c r="AC85" s="174">
        <f t="shared" si="29"/>
        <v>0.4148619324821311</v>
      </c>
      <c r="AD85" s="174">
        <f t="shared" si="29"/>
        <v>0.4644093562942406</v>
      </c>
      <c r="AE85" s="174">
        <f t="shared" si="29"/>
        <v>0.5139789315466888</v>
      </c>
    </row>
    <row r="86" spans="4:31" s="161" customFormat="1" ht="12.75">
      <c r="D86" s="161" t="s">
        <v>249</v>
      </c>
      <c r="G86" s="164">
        <f aca="true" t="shared" si="30" ref="G86:Z86">SUM(G23:G24)</f>
        <v>0</v>
      </c>
      <c r="H86" s="164">
        <f t="shared" si="30"/>
        <v>0</v>
      </c>
      <c r="I86" s="164">
        <f t="shared" si="30"/>
        <v>0</v>
      </c>
      <c r="J86" s="164">
        <f t="shared" si="30"/>
        <v>0</v>
      </c>
      <c r="K86" s="164">
        <f t="shared" si="30"/>
        <v>0</v>
      </c>
      <c r="L86" s="164">
        <f t="shared" si="30"/>
        <v>0</v>
      </c>
      <c r="M86" s="164">
        <f t="shared" si="30"/>
        <v>0</v>
      </c>
      <c r="N86" s="164">
        <f t="shared" si="30"/>
        <v>0</v>
      </c>
      <c r="O86" s="164">
        <f t="shared" si="30"/>
        <v>0</v>
      </c>
      <c r="P86" s="164">
        <f t="shared" si="30"/>
        <v>0</v>
      </c>
      <c r="Q86" s="164">
        <f t="shared" si="30"/>
        <v>0</v>
      </c>
      <c r="R86" s="164">
        <f t="shared" si="30"/>
        <v>0</v>
      </c>
      <c r="S86" s="164">
        <f t="shared" si="30"/>
        <v>0</v>
      </c>
      <c r="T86" s="164">
        <f t="shared" si="30"/>
        <v>0</v>
      </c>
      <c r="U86" s="164">
        <f t="shared" si="30"/>
        <v>0</v>
      </c>
      <c r="V86" s="164">
        <f t="shared" si="30"/>
        <v>0</v>
      </c>
      <c r="W86" s="164">
        <f t="shared" si="30"/>
        <v>0</v>
      </c>
      <c r="X86" s="164">
        <f t="shared" si="30"/>
        <v>0</v>
      </c>
      <c r="Y86" s="164">
        <f t="shared" si="30"/>
        <v>0</v>
      </c>
      <c r="Z86" s="164">
        <f t="shared" si="30"/>
        <v>0</v>
      </c>
      <c r="AA86" s="164">
        <f>SUM(AA23:AA24)</f>
        <v>0</v>
      </c>
      <c r="AB86" s="164">
        <f>SUM(AB23:AB24)</f>
        <v>0</v>
      </c>
      <c r="AC86" s="164">
        <f>SUM(AC23:AC24)</f>
        <v>0</v>
      </c>
      <c r="AD86" s="164">
        <f>SUM(AD23:AD24)</f>
        <v>0</v>
      </c>
      <c r="AE86" s="164">
        <f>SUM(AE23:AE24)</f>
        <v>0</v>
      </c>
    </row>
    <row r="87" s="161" customFormat="1" ht="12.75"/>
    <row r="88" s="161" customFormat="1" ht="12.75"/>
    <row r="89" s="161" customFormat="1" ht="12.75"/>
    <row r="90" spans="2:7" s="161" customFormat="1" ht="12.75">
      <c r="B90" s="161" t="s">
        <v>3</v>
      </c>
      <c r="G90" s="161" t="s">
        <v>250</v>
      </c>
    </row>
    <row r="91" spans="2:8" s="161" customFormat="1" ht="12.75">
      <c r="B91" s="161" t="s">
        <v>3</v>
      </c>
      <c r="E91" s="175" t="s">
        <v>22</v>
      </c>
      <c r="F91" s="175"/>
      <c r="G91" s="176"/>
      <c r="H91" s="176"/>
    </row>
    <row r="92" s="161" customFormat="1" ht="12.75"/>
    <row r="93" spans="4:34" s="161" customFormat="1" ht="12.75">
      <c r="D93" s="17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row>
    <row r="94" spans="4:34" s="161" customFormat="1" ht="12.75">
      <c r="D94" s="167" t="s">
        <v>251</v>
      </c>
      <c r="E94" s="167"/>
      <c r="F94" s="167"/>
      <c r="G94" s="165">
        <f aca="true" t="shared" si="31" ref="G94:Z94">G47</f>
        <v>-47789.97381344414</v>
      </c>
      <c r="H94" s="165">
        <f t="shared" si="31"/>
        <v>3552.8157014014796</v>
      </c>
      <c r="I94" s="165">
        <f t="shared" si="31"/>
        <v>3824.447326613088</v>
      </c>
      <c r="J94" s="165">
        <f t="shared" si="31"/>
        <v>4089.1379435544222</v>
      </c>
      <c r="K94" s="165">
        <f t="shared" si="31"/>
        <v>4346.555289534925</v>
      </c>
      <c r="L94" s="165">
        <f t="shared" si="31"/>
        <v>4596.3573625675635</v>
      </c>
      <c r="M94" s="165">
        <f t="shared" si="31"/>
        <v>4838.192175433163</v>
      </c>
      <c r="N94" s="165">
        <f t="shared" si="31"/>
        <v>5071.697503941832</v>
      </c>
      <c r="O94" s="165">
        <f t="shared" si="31"/>
        <v>5296.500629259208</v>
      </c>
      <c r="P94" s="165">
        <f t="shared" si="31"/>
        <v>5512.218074162178</v>
      </c>
      <c r="Q94" s="165">
        <f t="shared" si="31"/>
        <v>5718.455333086196</v>
      </c>
      <c r="R94" s="165">
        <f t="shared" si="31"/>
        <v>5914.8065958223815</v>
      </c>
      <c r="S94" s="165">
        <f t="shared" si="31"/>
        <v>6100.854464720636</v>
      </c>
      <c r="T94" s="165">
        <f t="shared" si="31"/>
        <v>6276.169665250265</v>
      </c>
      <c r="U94" s="165">
        <f t="shared" si="31"/>
        <v>6440.310749768098</v>
      </c>
      <c r="V94" s="165">
        <f t="shared" si="31"/>
        <v>55659.49046100524</v>
      </c>
      <c r="W94" s="165">
        <f t="shared" si="31"/>
        <v>55799.90875511595</v>
      </c>
      <c r="X94" s="165">
        <f t="shared" si="31"/>
        <v>55927.75248412602</v>
      </c>
      <c r="Y94" s="165">
        <f t="shared" si="31"/>
        <v>56042.52840428335</v>
      </c>
      <c r="Z94" s="165">
        <f t="shared" si="31"/>
        <v>56143.72951014154</v>
      </c>
      <c r="AA94" s="165">
        <f>AA47</f>
        <v>56230.83469420443</v>
      </c>
      <c r="AB94" s="165">
        <f>AB47</f>
        <v>56303.308398621826</v>
      </c>
      <c r="AC94" s="165">
        <f>AC47</f>
        <v>56360.60025875602</v>
      </c>
      <c r="AD94" s="165">
        <f>AD47</f>
        <v>56402.1447384355</v>
      </c>
      <c r="AE94" s="165">
        <f>AE47</f>
        <v>56427.36075670687</v>
      </c>
      <c r="AF94" s="165"/>
      <c r="AG94" s="165"/>
      <c r="AH94" s="167"/>
    </row>
    <row r="95" spans="4:34" s="161" customFormat="1" ht="12.75">
      <c r="D95" s="167" t="s">
        <v>252</v>
      </c>
      <c r="E95" s="167"/>
      <c r="F95" s="167"/>
      <c r="G95" s="165">
        <f aca="true" t="shared" si="32" ref="G95:AE95">IF(F95&lt;0,F95+G94,G94)</f>
        <v>-47789.97381344414</v>
      </c>
      <c r="H95" s="165">
        <f t="shared" si="32"/>
        <v>-44237.15811204266</v>
      </c>
      <c r="I95" s="165">
        <f t="shared" si="32"/>
        <v>-40412.710785429575</v>
      </c>
      <c r="J95" s="165">
        <f t="shared" si="32"/>
        <v>-36323.57284187515</v>
      </c>
      <c r="K95" s="165">
        <f t="shared" si="32"/>
        <v>-31977.01755234023</v>
      </c>
      <c r="L95" s="165">
        <f t="shared" si="32"/>
        <v>-27380.660189772665</v>
      </c>
      <c r="M95" s="165">
        <f t="shared" si="32"/>
        <v>-22542.4680143395</v>
      </c>
      <c r="N95" s="165">
        <f t="shared" si="32"/>
        <v>-17470.77051039767</v>
      </c>
      <c r="O95" s="165">
        <f t="shared" si="32"/>
        <v>-12174.269881138462</v>
      </c>
      <c r="P95" s="165">
        <f t="shared" si="32"/>
        <v>-6662.051806976284</v>
      </c>
      <c r="Q95" s="165">
        <f t="shared" si="32"/>
        <v>-943.5964738900875</v>
      </c>
      <c r="R95" s="165">
        <f t="shared" si="32"/>
        <v>4971.210121932294</v>
      </c>
      <c r="S95" s="165">
        <f t="shared" si="32"/>
        <v>6100.854464720636</v>
      </c>
      <c r="T95" s="165">
        <f t="shared" si="32"/>
        <v>6276.169665250265</v>
      </c>
      <c r="U95" s="165">
        <f t="shared" si="32"/>
        <v>6440.310749768098</v>
      </c>
      <c r="V95" s="165">
        <f t="shared" si="32"/>
        <v>55659.49046100524</v>
      </c>
      <c r="W95" s="165">
        <f t="shared" si="32"/>
        <v>55799.90875511595</v>
      </c>
      <c r="X95" s="165">
        <f t="shared" si="32"/>
        <v>55927.75248412602</v>
      </c>
      <c r="Y95" s="165">
        <f t="shared" si="32"/>
        <v>56042.52840428335</v>
      </c>
      <c r="Z95" s="165">
        <f t="shared" si="32"/>
        <v>56143.72951014154</v>
      </c>
      <c r="AA95" s="165">
        <f t="shared" si="32"/>
        <v>56230.83469420443</v>
      </c>
      <c r="AB95" s="165">
        <f t="shared" si="32"/>
        <v>56303.308398621826</v>
      </c>
      <c r="AC95" s="165">
        <f t="shared" si="32"/>
        <v>56360.60025875602</v>
      </c>
      <c r="AD95" s="165">
        <f t="shared" si="32"/>
        <v>56402.1447384355</v>
      </c>
      <c r="AE95" s="165">
        <f t="shared" si="32"/>
        <v>56427.36075670687</v>
      </c>
      <c r="AF95" s="167"/>
      <c r="AG95" s="167"/>
      <c r="AH95" s="167"/>
    </row>
    <row r="96" spans="4:34" s="161" customFormat="1" ht="12.75">
      <c r="D96" s="165" t="s">
        <v>209</v>
      </c>
      <c r="E96" s="167"/>
      <c r="F96" s="167"/>
      <c r="G96" s="165">
        <f>IF(input!$D$67*result!G95&gt;0,input!$D$67*result!G95,0)</f>
        <v>0</v>
      </c>
      <c r="H96" s="165">
        <f>IF(input!$D$67*result!H95&gt;0,input!$D$67*result!H95,0)</f>
        <v>0</v>
      </c>
      <c r="I96" s="165">
        <f>IF(input!$D$67*result!I95&gt;0,input!$D$67*result!I95,0)</f>
        <v>0</v>
      </c>
      <c r="J96" s="165">
        <f>IF(input!$D$67*result!J95&gt;0,input!$D$67*result!J95,0)</f>
        <v>0</v>
      </c>
      <c r="K96" s="165">
        <f>IF(input!$D$67*result!K95&gt;0,input!$D$67*result!K95,0)</f>
        <v>0</v>
      </c>
      <c r="L96" s="165">
        <f>IF(input!$D$67*result!L95&gt;0,input!$D$67*result!L95,0)</f>
        <v>0</v>
      </c>
      <c r="M96" s="165">
        <f>IF(input!$D$67*result!M95&gt;0,input!$D$67*result!M95,0)</f>
        <v>0</v>
      </c>
      <c r="N96" s="165">
        <f>IF(input!$D$67*result!N95&gt;0,input!$D$67*result!N95,0)</f>
        <v>0</v>
      </c>
      <c r="O96" s="165">
        <f>IF(input!$D$67*result!O95&gt;0,input!$D$67*result!O95,0)</f>
        <v>0</v>
      </c>
      <c r="P96" s="165">
        <f>IF(input!$D$67*result!P95&gt;0,input!$D$67*result!P95,0)</f>
        <v>0</v>
      </c>
      <c r="Q96" s="165">
        <f>IF(input!$D$67*result!Q95&gt;0,input!$D$67*result!Q95,0)</f>
        <v>0</v>
      </c>
      <c r="R96" s="165">
        <f>IF(input!$D$67*result!R95&gt;0,input!$D$67*result!R95,0)</f>
        <v>1242.8025304830735</v>
      </c>
      <c r="S96" s="165">
        <f>IF(input!$D$67*result!S95&gt;0,input!$D$67*result!S95,0)</f>
        <v>1525.213616180159</v>
      </c>
      <c r="T96" s="165">
        <f>IF(input!$D$67*result!T95&gt;0,input!$D$67*result!T95,0)</f>
        <v>1569.0424163125663</v>
      </c>
      <c r="U96" s="165">
        <f>IF(input!$D$67*result!U95&gt;0,input!$D$67*result!U95,0)</f>
        <v>1610.0776874420244</v>
      </c>
      <c r="V96" s="165">
        <f>IF(input!$D$67*result!V95&gt;0,input!$D$67*result!V95,0)</f>
        <v>13914.87261525131</v>
      </c>
      <c r="W96" s="165">
        <f>IF(input!$D$67*result!W95&gt;0,input!$D$67*result!W95,0)</f>
        <v>13949.977188778987</v>
      </c>
      <c r="X96" s="165">
        <f>IF(input!$D$67*result!X95&gt;0,input!$D$67*result!X95,0)</f>
        <v>13981.938121031504</v>
      </c>
      <c r="Y96" s="165">
        <f>IF(input!$D$67*result!Y95&gt;0,input!$D$67*result!Y95,0)</f>
        <v>14010.632101070838</v>
      </c>
      <c r="Z96" s="165">
        <f>IF(input!$D$67*result!Z95&gt;0,input!$D$67*result!Z95,0)</f>
        <v>14035.932377535384</v>
      </c>
      <c r="AA96" s="165">
        <f>IF(input!$D$67*result!AA95&gt;0,input!$D$67*result!AA95,0)</f>
        <v>14057.708673551107</v>
      </c>
      <c r="AB96" s="165">
        <f>IF(input!$D$67*result!AB95&gt;0,input!$D$67*result!AB95,0)</f>
        <v>14075.827099655457</v>
      </c>
      <c r="AC96" s="165">
        <f>IF(input!$D$67*result!AC95&gt;0,input!$D$67*result!AC95,0)</f>
        <v>14090.150064689005</v>
      </c>
      <c r="AD96" s="165">
        <f>IF(input!$D$67*result!AD95&gt;0,input!$D$67*result!AD95,0)</f>
        <v>14100.536184608874</v>
      </c>
      <c r="AE96" s="165">
        <f>IF(input!$D$67*result!AE95&gt;0,input!$D$67*result!AE95,0)</f>
        <v>14106.840189176717</v>
      </c>
      <c r="AF96" s="167"/>
      <c r="AG96" s="167"/>
      <c r="AH96" s="167"/>
    </row>
    <row r="97" spans="4:34" s="161" customFormat="1" ht="12.75">
      <c r="D97" s="167" t="s">
        <v>253</v>
      </c>
      <c r="E97" s="167"/>
      <c r="F97" s="167"/>
      <c r="G97" s="165">
        <f>IF(F97&lt;0,F97+G94,G94)</f>
        <v>-47789.97381344414</v>
      </c>
      <c r="H97" s="165">
        <f aca="true" t="shared" si="33" ref="H97:AE97">IF(G97&lt;0,G97+H94,H94)</f>
        <v>-44237.15811204266</v>
      </c>
      <c r="I97" s="165">
        <f t="shared" si="33"/>
        <v>-40412.710785429575</v>
      </c>
      <c r="J97" s="165">
        <f t="shared" si="33"/>
        <v>-36323.57284187515</v>
      </c>
      <c r="K97" s="165">
        <f t="shared" si="33"/>
        <v>-31977.01755234023</v>
      </c>
      <c r="L97" s="165">
        <f t="shared" si="33"/>
        <v>-27380.660189772665</v>
      </c>
      <c r="M97" s="165">
        <f t="shared" si="33"/>
        <v>-22542.4680143395</v>
      </c>
      <c r="N97" s="165">
        <f t="shared" si="33"/>
        <v>-17470.77051039767</v>
      </c>
      <c r="O97" s="165">
        <f t="shared" si="33"/>
        <v>-12174.269881138462</v>
      </c>
      <c r="P97" s="165">
        <f t="shared" si="33"/>
        <v>-6662.051806976284</v>
      </c>
      <c r="Q97" s="165">
        <f t="shared" si="33"/>
        <v>-943.5964738900875</v>
      </c>
      <c r="R97" s="165">
        <f t="shared" si="33"/>
        <v>4971.210121932294</v>
      </c>
      <c r="S97" s="165">
        <f t="shared" si="33"/>
        <v>6100.854464720636</v>
      </c>
      <c r="T97" s="165">
        <f t="shared" si="33"/>
        <v>6276.169665250265</v>
      </c>
      <c r="U97" s="165">
        <f t="shared" si="33"/>
        <v>6440.310749768098</v>
      </c>
      <c r="V97" s="165">
        <f t="shared" si="33"/>
        <v>55659.49046100524</v>
      </c>
      <c r="W97" s="165">
        <f t="shared" si="33"/>
        <v>55799.90875511595</v>
      </c>
      <c r="X97" s="165">
        <f t="shared" si="33"/>
        <v>55927.75248412602</v>
      </c>
      <c r="Y97" s="165">
        <f t="shared" si="33"/>
        <v>56042.52840428335</v>
      </c>
      <c r="Z97" s="165">
        <f t="shared" si="33"/>
        <v>56143.72951014154</v>
      </c>
      <c r="AA97" s="165">
        <f t="shared" si="33"/>
        <v>56230.83469420443</v>
      </c>
      <c r="AB97" s="165">
        <f t="shared" si="33"/>
        <v>56303.308398621826</v>
      </c>
      <c r="AC97" s="165">
        <f t="shared" si="33"/>
        <v>56360.60025875602</v>
      </c>
      <c r="AD97" s="165">
        <f t="shared" si="33"/>
        <v>56402.1447384355</v>
      </c>
      <c r="AE97" s="165">
        <f t="shared" si="33"/>
        <v>56427.36075670687</v>
      </c>
      <c r="AF97" s="165"/>
      <c r="AG97" s="167"/>
      <c r="AH97" s="167"/>
    </row>
    <row r="98" spans="4:34" s="161" customFormat="1" ht="12.75">
      <c r="D98" s="167" t="s">
        <v>254</v>
      </c>
      <c r="E98" s="167"/>
      <c r="F98" s="167"/>
      <c r="G98" s="165">
        <f>input!$E$67*result!G94</f>
        <v>-11947.493453361036</v>
      </c>
      <c r="H98" s="165">
        <f>input!$E$67*result!H94</f>
        <v>888.2039253503699</v>
      </c>
      <c r="I98" s="165">
        <f>input!$E$67*result!I94</f>
        <v>956.111831653272</v>
      </c>
      <c r="J98" s="165">
        <f>input!$E$67*result!J94</f>
        <v>1022.2844858886056</v>
      </c>
      <c r="K98" s="165">
        <f>input!$E$67*result!K94</f>
        <v>1086.6388223837312</v>
      </c>
      <c r="L98" s="165">
        <f>input!$E$67*result!L94</f>
        <v>1149.0893406418909</v>
      </c>
      <c r="M98" s="165">
        <f>input!$E$67*result!M94</f>
        <v>1209.5480438582908</v>
      </c>
      <c r="N98" s="165">
        <f>input!$E$67*result!N94</f>
        <v>1267.924375985458</v>
      </c>
      <c r="O98" s="165">
        <f>input!$E$67*result!O94</f>
        <v>1324.125157314802</v>
      </c>
      <c r="P98" s="165">
        <f>input!$E$67*result!P94</f>
        <v>1378.0545185405444</v>
      </c>
      <c r="Q98" s="165">
        <f>input!$E$67*result!Q94</f>
        <v>1429.613833271549</v>
      </c>
      <c r="R98" s="165">
        <f>input!$E$67*result!R94</f>
        <v>1478.7016489555954</v>
      </c>
      <c r="S98" s="165">
        <f>input!$E$67*result!S94</f>
        <v>1525.213616180159</v>
      </c>
      <c r="T98" s="165">
        <f>input!$E$67*result!T94</f>
        <v>1569.0424163125663</v>
      </c>
      <c r="U98" s="165">
        <f>input!$E$67*result!U94</f>
        <v>1610.0776874420244</v>
      </c>
      <c r="V98" s="165">
        <f>input!$E$67*result!V94</f>
        <v>13914.87261525131</v>
      </c>
      <c r="W98" s="165">
        <f>input!$E$67*result!W94</f>
        <v>13949.977188778987</v>
      </c>
      <c r="X98" s="165">
        <f>input!$E$67*result!X94</f>
        <v>13981.938121031504</v>
      </c>
      <c r="Y98" s="165">
        <f>input!$E$67*result!Y94</f>
        <v>14010.632101070838</v>
      </c>
      <c r="Z98" s="165">
        <f>input!$E$67*result!Z94</f>
        <v>14035.932377535384</v>
      </c>
      <c r="AA98" s="165">
        <f>input!$E$67*result!AA94</f>
        <v>14057.708673551107</v>
      </c>
      <c r="AB98" s="165">
        <f>input!$E$67*result!AB94</f>
        <v>14075.827099655457</v>
      </c>
      <c r="AC98" s="165">
        <f>input!$E$67*result!AC94</f>
        <v>14090.150064689005</v>
      </c>
      <c r="AD98" s="165">
        <f>input!$E$67*result!AD94</f>
        <v>14100.536184608874</v>
      </c>
      <c r="AE98" s="165">
        <f>input!$E$67*result!AE94</f>
        <v>14106.840189176717</v>
      </c>
      <c r="AF98" s="167"/>
      <c r="AG98" s="167"/>
      <c r="AH98" s="167"/>
    </row>
    <row r="99" spans="4:34" s="161" customFormat="1" ht="12.75">
      <c r="D99" s="167"/>
      <c r="E99" s="167"/>
      <c r="F99" s="167"/>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67"/>
      <c r="AG99" s="179"/>
      <c r="AH99" s="179"/>
    </row>
    <row r="100" spans="4:34" s="161" customFormat="1" ht="12.75">
      <c r="D100" s="167"/>
      <c r="E100" s="167"/>
      <c r="F100" s="167"/>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7"/>
      <c r="AG100" s="167"/>
      <c r="AH100" s="167"/>
    </row>
    <row r="101" spans="4:34" s="161" customFormat="1" ht="12.75">
      <c r="D101" s="167"/>
      <c r="E101" s="167"/>
      <c r="F101" s="167"/>
      <c r="G101" s="167"/>
      <c r="H101" s="165"/>
      <c r="I101" s="165"/>
      <c r="J101" s="167"/>
      <c r="K101" s="167"/>
      <c r="Q101" s="167"/>
      <c r="R101" s="165"/>
      <c r="S101" s="167"/>
      <c r="T101" s="165"/>
      <c r="U101" s="167"/>
      <c r="V101" s="167"/>
      <c r="W101" s="167"/>
      <c r="X101" s="167"/>
      <c r="Y101" s="165"/>
      <c r="Z101" s="165"/>
      <c r="AA101" s="165"/>
      <c r="AB101" s="165"/>
      <c r="AC101" s="165"/>
      <c r="AD101" s="165"/>
      <c r="AE101" s="165"/>
      <c r="AF101" s="167"/>
      <c r="AG101" s="167"/>
      <c r="AH101" s="167"/>
    </row>
    <row r="102" spans="4:34" s="161" customFormat="1" ht="12.75">
      <c r="D102" s="171"/>
      <c r="J102" s="167"/>
      <c r="K102" s="167"/>
      <c r="Q102" s="178"/>
      <c r="R102" s="178"/>
      <c r="S102" s="178"/>
      <c r="T102" s="178"/>
      <c r="U102" s="178"/>
      <c r="V102" s="178"/>
      <c r="W102" s="178"/>
      <c r="X102" s="178"/>
      <c r="Y102" s="178"/>
      <c r="Z102" s="178"/>
      <c r="AA102" s="178"/>
      <c r="AB102" s="178"/>
      <c r="AC102" s="178"/>
      <c r="AD102" s="178"/>
      <c r="AE102" s="178"/>
      <c r="AF102" s="167"/>
      <c r="AG102" s="167"/>
      <c r="AH102" s="167"/>
    </row>
    <row r="103" spans="10:34" s="161" customFormat="1" ht="12.75">
      <c r="J103" s="178"/>
      <c r="K103" s="178"/>
      <c r="Q103" s="178"/>
      <c r="R103" s="178"/>
      <c r="S103" s="178"/>
      <c r="T103" s="178"/>
      <c r="U103" s="178"/>
      <c r="V103" s="178"/>
      <c r="W103" s="178"/>
      <c r="X103" s="178"/>
      <c r="Y103" s="178"/>
      <c r="Z103" s="178"/>
      <c r="AA103" s="178"/>
      <c r="AB103" s="178"/>
      <c r="AC103" s="178"/>
      <c r="AD103" s="178"/>
      <c r="AE103" s="178"/>
      <c r="AF103" s="167"/>
      <c r="AG103" s="167"/>
      <c r="AH103" s="167"/>
    </row>
    <row r="104" spans="4:34" s="161" customFormat="1" ht="12.75">
      <c r="D104" s="161" t="str">
        <f>input!C43</f>
        <v>Buy price</v>
      </c>
      <c r="H104" s="164">
        <f>kp</f>
        <v>736000</v>
      </c>
      <c r="J104" s="167"/>
      <c r="K104" s="167"/>
      <c r="Q104" s="165"/>
      <c r="R104" s="165"/>
      <c r="S104" s="165"/>
      <c r="T104" s="165"/>
      <c r="U104" s="165"/>
      <c r="V104" s="165"/>
      <c r="W104" s="165"/>
      <c r="X104" s="165"/>
      <c r="Y104" s="165"/>
      <c r="Z104" s="165"/>
      <c r="AA104" s="165"/>
      <c r="AB104" s="165"/>
      <c r="AC104" s="165"/>
      <c r="AD104" s="165"/>
      <c r="AE104" s="165"/>
      <c r="AF104" s="167"/>
      <c r="AG104" s="167"/>
      <c r="AH104" s="167"/>
    </row>
    <row r="105" spans="8:34" s="161" customFormat="1" ht="12.75">
      <c r="H105" s="164">
        <f>-input!E50</f>
        <v>0</v>
      </c>
      <c r="J105" s="178"/>
      <c r="K105" s="178"/>
      <c r="Q105" s="178"/>
      <c r="R105" s="178"/>
      <c r="S105" s="178"/>
      <c r="T105" s="178"/>
      <c r="U105" s="178"/>
      <c r="V105" s="178"/>
      <c r="W105" s="178"/>
      <c r="X105" s="178"/>
      <c r="Y105" s="178"/>
      <c r="Z105" s="178"/>
      <c r="AA105" s="178"/>
      <c r="AB105" s="178"/>
      <c r="AC105" s="178"/>
      <c r="AD105" s="178"/>
      <c r="AE105" s="178"/>
      <c r="AF105" s="167"/>
      <c r="AG105" s="167"/>
      <c r="AH105" s="167"/>
    </row>
    <row r="106" spans="4:8" s="161" customFormat="1" ht="12.75">
      <c r="D106" s="161" t="str">
        <f>input!C45</f>
        <v>LEGALIZATION COST</v>
      </c>
      <c r="H106" s="164">
        <f>input!E45</f>
        <v>0</v>
      </c>
    </row>
    <row r="107" s="161" customFormat="1" ht="12.75">
      <c r="H107" s="164"/>
    </row>
    <row r="108" spans="4:8" s="161" customFormat="1" ht="12.75">
      <c r="D108" s="171" t="s">
        <v>235</v>
      </c>
      <c r="H108" s="180">
        <f>SUM(H104:H106)</f>
        <v>736000</v>
      </c>
    </row>
    <row r="109" s="161" customFormat="1" ht="12.75"/>
    <row r="110" spans="4:8" s="161" customFormat="1" ht="12.75">
      <c r="D110" s="161" t="s">
        <v>236</v>
      </c>
      <c r="H110" s="181">
        <f>input!D15</f>
        <v>15</v>
      </c>
    </row>
    <row r="111" spans="4:8" s="161" customFormat="1" ht="12.75">
      <c r="D111" s="161" t="s">
        <v>237</v>
      </c>
      <c r="H111" s="164">
        <f>afa/H110</f>
        <v>49066.666666666664</v>
      </c>
    </row>
    <row r="112" spans="4:8" s="161" customFormat="1" ht="12.75">
      <c r="D112" s="161" t="s">
        <v>238</v>
      </c>
      <c r="H112" s="164">
        <f>SUM(H104:H106)</f>
        <v>736000</v>
      </c>
    </row>
    <row r="113" s="161" customFormat="1" ht="12.75"/>
    <row r="114" s="161" customFormat="1" ht="12.75"/>
    <row r="115" s="161" customFormat="1" ht="12.75"/>
    <row r="116" s="161" customFormat="1" ht="12.75"/>
    <row r="117" s="161" customFormat="1" ht="12.75"/>
    <row r="118" s="161" customFormat="1" ht="12.75"/>
    <row r="119" s="161" customFormat="1" ht="12.75"/>
    <row r="120" s="161" customFormat="1" ht="12.75"/>
    <row r="121" s="161" customFormat="1" ht="12.75"/>
    <row r="122" s="161" customFormat="1" ht="12.75"/>
    <row r="123" s="161" customFormat="1" ht="12.75"/>
    <row r="124" s="161" customFormat="1" ht="12.75"/>
    <row r="125" s="161" customFormat="1" ht="12.75"/>
    <row r="126" s="161" customFormat="1" ht="12.75"/>
    <row r="127" s="161" customFormat="1" ht="12.75"/>
    <row r="128" s="161" customFormat="1" ht="12.75"/>
    <row r="129" s="161" customFormat="1" ht="12.75"/>
    <row r="130" s="161" customFormat="1" ht="12.75"/>
    <row r="131" s="161" customFormat="1" ht="12.75"/>
    <row r="132" s="161" customFormat="1" ht="12.75"/>
    <row r="133" s="161" customFormat="1" ht="12.75"/>
    <row r="134" s="161" customFormat="1" ht="12.75"/>
    <row r="135" s="161" customFormat="1" ht="12.75"/>
    <row r="136" s="161" customFormat="1" ht="12.75"/>
    <row r="137" s="161" customFormat="1" ht="12.75"/>
    <row r="138" s="161" customFormat="1" ht="12.75"/>
    <row r="139" s="161" customFormat="1" ht="12.75"/>
    <row r="140" s="161" customFormat="1" ht="12.75"/>
    <row r="141" s="161" customFormat="1" ht="12.75"/>
    <row r="142" s="161" customFormat="1" ht="12.75"/>
    <row r="143" s="161" customFormat="1" ht="12.75"/>
    <row r="144" s="161" customFormat="1" ht="12.75"/>
    <row r="145" s="161" customFormat="1" ht="12.75"/>
    <row r="146" s="161" customFormat="1" ht="12.75"/>
    <row r="147" s="161" customFormat="1" ht="12.75"/>
    <row r="148" s="161" customFormat="1" ht="12.75"/>
    <row r="149" s="161" customFormat="1" ht="12.75"/>
    <row r="150" s="161" customFormat="1" ht="12.75"/>
    <row r="151" s="161" customFormat="1" ht="12.75"/>
    <row r="152" s="161" customFormat="1" ht="12.75"/>
    <row r="153" s="161" customFormat="1" ht="12.75"/>
    <row r="154" s="161" customFormat="1" ht="12.75"/>
    <row r="155" s="161" customFormat="1" ht="12.75"/>
    <row r="156" s="161" customFormat="1" ht="12.75"/>
    <row r="157" s="161" customFormat="1" ht="12.75"/>
    <row r="158" s="161" customFormat="1" ht="12.75"/>
    <row r="159" s="161" customFormat="1" ht="12.75"/>
    <row r="160" s="161" customFormat="1" ht="12.75"/>
    <row r="161" s="161" customFormat="1" ht="12.75"/>
    <row r="162" s="161" customFormat="1" ht="12.75"/>
    <row r="163" s="161" customFormat="1" ht="12.75"/>
    <row r="164" s="161" customFormat="1" ht="12.75"/>
    <row r="165" s="161" customFormat="1" ht="12.75"/>
    <row r="166" s="161" customFormat="1" ht="12.75"/>
    <row r="167" s="161" customFormat="1" ht="12.75"/>
    <row r="168" s="161" customFormat="1" ht="12.75"/>
    <row r="169" s="161" customFormat="1" ht="12.75"/>
    <row r="170" s="161" customFormat="1" ht="12.75"/>
    <row r="171" s="161" customFormat="1" ht="12.75"/>
    <row r="172" s="161" customFormat="1" ht="12.75"/>
    <row r="173" s="161" customFormat="1" ht="12.75"/>
    <row r="174" s="161" customFormat="1" ht="12.75"/>
    <row r="175" s="161" customFormat="1" ht="12.75"/>
    <row r="176" s="161" customFormat="1" ht="12.75"/>
    <row r="177" s="161" customFormat="1" ht="12.75"/>
    <row r="178" s="161" customFormat="1" ht="12.75"/>
    <row r="179" s="161" customFormat="1" ht="12.75"/>
    <row r="180" s="161" customFormat="1" ht="12.75"/>
    <row r="181" s="161" customFormat="1" ht="12.75"/>
    <row r="182" s="161" customFormat="1" ht="12.75"/>
    <row r="183" s="161" customFormat="1" ht="12.75"/>
    <row r="184" s="161" customFormat="1" ht="12.75"/>
  </sheetData>
  <sheetProtection selectLockedCells="1" selectUnlockedCells="1"/>
  <mergeCells count="1">
    <mergeCell ref="AF73:AG73"/>
  </mergeCells>
  <conditionalFormatting sqref="G63:AE63">
    <cfRule type="cellIs" priority="1" dxfId="0" operator="lessThan" stopIfTrue="1">
      <formula>G64</formula>
    </cfRule>
  </conditionalFormatting>
  <conditionalFormatting sqref="G65:U65">
    <cfRule type="cellIs" priority="2" dxfId="0" operator="lessThan" stopIfTrue="1">
      <formula>1.2</formula>
    </cfRule>
  </conditionalFormatting>
  <conditionalFormatting sqref="I58:AE58 G53:AE53">
    <cfRule type="cellIs" priority="3" dxfId="0" operator="lessThanOrEqual" stopIfTrue="1">
      <formula>0</formula>
    </cfRule>
  </conditionalFormatting>
  <conditionalFormatting sqref="G43:AE43">
    <cfRule type="cellIs" priority="4" dxfId="0" operator="lessThan" stopIfTrue="1">
      <formula>0</formula>
    </cfRule>
  </conditionalFormatting>
  <printOptions/>
  <pageMargins left="0.46" right="0.1" top="0.23" bottom="0.22" header="0.13" footer="0.13"/>
  <pageSetup fitToWidth="2" fitToHeight="1" horizontalDpi="300" verticalDpi="300" orientation="portrait" paperSize="9" scale="35" r:id="rId3"/>
  <headerFooter alignWithMargins="0">
    <oddHeader>&amp;C&amp;F</oddHeader>
  </headerFooter>
  <colBreaks count="1" manualBreakCount="1">
    <brk id="33" min="7" max="87" man="1"/>
  </colBreaks>
  <legacyDrawing r:id="rId2"/>
</worksheet>
</file>

<file path=xl/worksheets/sheet4.xml><?xml version="1.0" encoding="utf-8"?>
<worksheet xmlns="http://schemas.openxmlformats.org/spreadsheetml/2006/main" xmlns:r="http://schemas.openxmlformats.org/officeDocument/2006/relationships">
  <dimension ref="A2:U21"/>
  <sheetViews>
    <sheetView zoomScalePageLayoutView="0" workbookViewId="0" topLeftCell="A1">
      <selection activeCell="H21" sqref="H21"/>
    </sheetView>
  </sheetViews>
  <sheetFormatPr defaultColWidth="11.421875" defaultRowHeight="12.75"/>
  <cols>
    <col min="1" max="1" width="10.8515625" style="156" customWidth="1"/>
    <col min="2" max="2" width="11.140625" style="307" customWidth="1"/>
    <col min="3" max="3" width="9.00390625" style="308" bestFit="1" customWidth="1"/>
    <col min="4" max="4" width="7.28125" style="309" customWidth="1"/>
    <col min="5" max="5" width="35.57421875" style="156" customWidth="1"/>
    <col min="6" max="6" width="8.140625" style="156" customWidth="1"/>
    <col min="7" max="7" width="10.8515625" style="156" customWidth="1"/>
    <col min="8" max="8" width="11.8515625" style="156" customWidth="1"/>
    <col min="9" max="9" width="11.421875" style="156" hidden="1" customWidth="1"/>
    <col min="10" max="10" width="7.8515625" style="156" customWidth="1"/>
    <col min="11" max="11" width="11.421875" style="156" hidden="1" customWidth="1"/>
    <col min="12" max="21" width="10.8515625" style="156" customWidth="1"/>
  </cols>
  <sheetData>
    <row r="2" spans="9:10" ht="13.5" thickBot="1">
      <c r="I2" s="158"/>
      <c r="J2" s="158"/>
    </row>
    <row r="3" spans="1:21" s="25" customFormat="1" ht="27" customHeight="1" thickBot="1">
      <c r="A3" s="310"/>
      <c r="B3" s="348" t="s">
        <v>199</v>
      </c>
      <c r="C3" s="349"/>
      <c r="D3" s="349"/>
      <c r="E3" s="349"/>
      <c r="F3" s="349"/>
      <c r="G3" s="349"/>
      <c r="H3" s="349"/>
      <c r="I3" s="349"/>
      <c r="J3" s="350"/>
      <c r="K3" s="310"/>
      <c r="L3" s="311"/>
      <c r="M3" s="310"/>
      <c r="N3" s="310"/>
      <c r="O3" s="310"/>
      <c r="P3" s="310"/>
      <c r="Q3" s="310"/>
      <c r="R3" s="310"/>
      <c r="S3" s="310"/>
      <c r="T3" s="310"/>
      <c r="U3" s="310"/>
    </row>
    <row r="4" spans="2:10" ht="12.75">
      <c r="B4" s="312"/>
      <c r="C4" s="158"/>
      <c r="D4" s="158"/>
      <c r="E4" s="158"/>
      <c r="F4" s="158"/>
      <c r="G4" s="158"/>
      <c r="H4" s="158"/>
      <c r="I4" s="313"/>
      <c r="J4" s="314"/>
    </row>
    <row r="5" spans="2:10" ht="12.75">
      <c r="B5" s="312" t="s">
        <v>200</v>
      </c>
      <c r="C5" s="158"/>
      <c r="D5" s="158"/>
      <c r="E5" s="158"/>
      <c r="F5" s="157">
        <f>input!E27</f>
        <v>327750</v>
      </c>
      <c r="G5" s="158" t="s">
        <v>79</v>
      </c>
      <c r="H5" s="158"/>
      <c r="I5" s="313"/>
      <c r="J5" s="314"/>
    </row>
    <row r="6" spans="2:10" ht="12.75">
      <c r="B6" s="312" t="s">
        <v>201</v>
      </c>
      <c r="C6" s="158"/>
      <c r="D6" s="158"/>
      <c r="E6" s="158"/>
      <c r="F6" s="158">
        <f>F5/1000*0.086</f>
        <v>28.1865</v>
      </c>
      <c r="G6" s="158" t="s">
        <v>81</v>
      </c>
      <c r="H6" s="158"/>
      <c r="I6" s="313"/>
      <c r="J6" s="314"/>
    </row>
    <row r="7" spans="2:12" ht="12.75">
      <c r="B7" s="315" t="s">
        <v>202</v>
      </c>
      <c r="C7" s="316"/>
      <c r="D7" s="316"/>
      <c r="E7" s="316"/>
      <c r="F7" s="317">
        <f>F6*C18</f>
        <v>90.76053</v>
      </c>
      <c r="G7" s="318" t="s">
        <v>207</v>
      </c>
      <c r="H7" s="316"/>
      <c r="I7" s="313"/>
      <c r="J7" s="319"/>
      <c r="K7" s="320"/>
      <c r="L7" s="321"/>
    </row>
    <row r="8" spans="2:10" ht="13.5" customHeight="1">
      <c r="B8" s="315" t="s">
        <v>203</v>
      </c>
      <c r="C8" s="316"/>
      <c r="D8" s="316"/>
      <c r="E8" s="316"/>
      <c r="F8" s="317">
        <f>F6*C19</f>
        <v>654.4905299999999</v>
      </c>
      <c r="G8" s="318" t="s">
        <v>205</v>
      </c>
      <c r="H8" s="316"/>
      <c r="I8" s="313"/>
      <c r="J8" s="314"/>
    </row>
    <row r="9" spans="2:10" ht="25.5" customHeight="1">
      <c r="B9" s="322" t="s">
        <v>204</v>
      </c>
      <c r="C9" s="158"/>
      <c r="D9" s="158"/>
      <c r="E9" s="158"/>
      <c r="F9" s="323">
        <f>F7*C20</f>
        <v>361.2269094</v>
      </c>
      <c r="G9" s="324" t="s">
        <v>87</v>
      </c>
      <c r="H9" s="158"/>
      <c r="I9" s="313"/>
      <c r="J9" s="314"/>
    </row>
    <row r="10" spans="2:10" ht="13.5" thickBot="1">
      <c r="B10" s="325"/>
      <c r="C10" s="326"/>
      <c r="D10" s="326"/>
      <c r="E10" s="326"/>
      <c r="F10" s="326"/>
      <c r="G10" s="326"/>
      <c r="H10" s="326"/>
      <c r="I10" s="327"/>
      <c r="J10" s="328"/>
    </row>
    <row r="12" ht="13.5" thickBot="1"/>
    <row r="13" spans="2:5" ht="12.75">
      <c r="B13" s="329" t="s">
        <v>78</v>
      </c>
      <c r="C13" s="330">
        <v>860</v>
      </c>
      <c r="D13" s="331" t="s">
        <v>86</v>
      </c>
      <c r="E13" s="332"/>
    </row>
    <row r="14" spans="2:5" ht="12.75">
      <c r="B14" s="333" t="s">
        <v>82</v>
      </c>
      <c r="C14" s="334">
        <v>10000000</v>
      </c>
      <c r="D14" s="335" t="s">
        <v>86</v>
      </c>
      <c r="E14" s="336"/>
    </row>
    <row r="15" spans="2:5" ht="12.75">
      <c r="B15" s="333" t="s">
        <v>80</v>
      </c>
      <c r="C15" s="337">
        <v>0.086</v>
      </c>
      <c r="D15" s="335" t="s">
        <v>81</v>
      </c>
      <c r="E15" s="336"/>
    </row>
    <row r="16" spans="2:5" ht="12.75">
      <c r="B16" s="333" t="s">
        <v>88</v>
      </c>
      <c r="C16" s="338">
        <v>4.186</v>
      </c>
      <c r="D16" s="335" t="s">
        <v>89</v>
      </c>
      <c r="E16" s="336"/>
    </row>
    <row r="17" spans="2:5" ht="12.75">
      <c r="B17" s="333" t="s">
        <v>90</v>
      </c>
      <c r="C17" s="338">
        <v>1000</v>
      </c>
      <c r="D17" s="335" t="s">
        <v>86</v>
      </c>
      <c r="E17" s="336"/>
    </row>
    <row r="18" spans="2:5" ht="12.75">
      <c r="B18" s="339" t="s">
        <v>82</v>
      </c>
      <c r="C18" s="340">
        <v>3.22</v>
      </c>
      <c r="D18" s="341" t="s">
        <v>83</v>
      </c>
      <c r="E18" s="342"/>
    </row>
    <row r="19" spans="2:5" ht="12.75">
      <c r="B19" s="333" t="s">
        <v>82</v>
      </c>
      <c r="C19" s="343">
        <v>23.22</v>
      </c>
      <c r="D19" s="335" t="s">
        <v>84</v>
      </c>
      <c r="E19" s="336"/>
    </row>
    <row r="20" spans="2:5" ht="12.75">
      <c r="B20" s="333" t="s">
        <v>85</v>
      </c>
      <c r="C20" s="338">
        <v>3.98</v>
      </c>
      <c r="D20" s="335" t="s">
        <v>206</v>
      </c>
      <c r="E20" s="336"/>
    </row>
    <row r="21" spans="2:5" ht="13.5" thickBot="1">
      <c r="B21" s="344" t="s">
        <v>80</v>
      </c>
      <c r="C21" s="345">
        <f>C15*C18</f>
        <v>0.27692</v>
      </c>
      <c r="D21" s="346" t="s">
        <v>83</v>
      </c>
      <c r="E21" s="347"/>
    </row>
  </sheetData>
  <sheetProtection password="A793" sheet="1"/>
  <printOptions/>
  <pageMargins left="0.75" right="0.75" top="1" bottom="1"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8:AT40"/>
  <sheetViews>
    <sheetView tabSelected="1" zoomScale="90" zoomScaleNormal="90" zoomScalePageLayoutView="0" workbookViewId="0" topLeftCell="A26">
      <selection activeCell="T14" sqref="T14"/>
    </sheetView>
  </sheetViews>
  <sheetFormatPr defaultColWidth="11.421875" defaultRowHeight="12.75"/>
  <cols>
    <col min="1" max="2" width="10.8515625" style="351" customWidth="1"/>
    <col min="3" max="3" width="5.7109375" style="0" customWidth="1"/>
    <col min="4" max="11" width="11.57421875" style="0" bestFit="1" customWidth="1"/>
    <col min="12" max="12" width="12.57421875" style="0" bestFit="1" customWidth="1"/>
    <col min="13" max="13" width="12.28125" style="0" customWidth="1"/>
    <col min="14" max="14" width="12.28125" style="0" hidden="1" customWidth="1"/>
    <col min="15" max="15" width="11.57421875" style="0" bestFit="1" customWidth="1"/>
    <col min="16" max="16" width="0.13671875" style="0" customWidth="1"/>
    <col min="17" max="17" width="11.8515625" style="0" hidden="1" customWidth="1"/>
    <col min="18" max="18" width="11.57421875" style="0" bestFit="1" customWidth="1"/>
    <col min="19" max="19" width="4.7109375" style="0" bestFit="1" customWidth="1"/>
    <col min="20" max="46" width="10.8515625" style="351" customWidth="1"/>
  </cols>
  <sheetData>
    <row r="1" s="351" customFormat="1" ht="12.75"/>
    <row r="2" s="351" customFormat="1" ht="12.75"/>
    <row r="3" s="351" customFormat="1" ht="12.75"/>
    <row r="4" s="351" customFormat="1" ht="12.75"/>
    <row r="5" s="351" customFormat="1" ht="12.75"/>
    <row r="6" s="351" customFormat="1" ht="12.75"/>
    <row r="7" s="351" customFormat="1" ht="12.75"/>
    <row r="8" spans="8:12" s="351" customFormat="1" ht="13.5" thickBot="1">
      <c r="H8" s="353"/>
      <c r="L8" s="353"/>
    </row>
    <row r="9" spans="3:19" ht="18">
      <c r="C9" s="39" t="s">
        <v>306</v>
      </c>
      <c r="D9" s="40"/>
      <c r="E9" s="35"/>
      <c r="F9" s="36"/>
      <c r="G9" s="43" t="s">
        <v>309</v>
      </c>
      <c r="H9" s="45"/>
      <c r="I9" s="44">
        <f>result!AG61</f>
        <v>0.047149147456480245</v>
      </c>
      <c r="J9" s="42" t="s">
        <v>307</v>
      </c>
      <c r="K9" s="37"/>
      <c r="L9" s="46">
        <f>result!AF61</f>
        <v>157310.777676848</v>
      </c>
      <c r="M9" s="35"/>
      <c r="N9" s="35"/>
      <c r="O9" s="35"/>
      <c r="P9" s="35"/>
      <c r="Q9" s="35"/>
      <c r="R9" s="38"/>
      <c r="S9" s="351"/>
    </row>
    <row r="10" spans="3:19" ht="18" customHeight="1" thickBot="1">
      <c r="C10" s="354"/>
      <c r="D10" s="355"/>
      <c r="E10" s="355"/>
      <c r="F10" s="356"/>
      <c r="G10" s="50" t="s">
        <v>103</v>
      </c>
      <c r="H10" s="51"/>
      <c r="I10" s="52">
        <f>result!AG51</f>
        <v>0.03944166648078817</v>
      </c>
      <c r="J10" s="47" t="s">
        <v>308</v>
      </c>
      <c r="K10" s="48"/>
      <c r="L10" s="49">
        <f>result!AF51</f>
        <v>78880.86289820075</v>
      </c>
      <c r="M10" s="357"/>
      <c r="N10" s="357"/>
      <c r="O10" s="357"/>
      <c r="P10" s="357"/>
      <c r="Q10" s="357"/>
      <c r="R10" s="358"/>
      <c r="S10" s="351"/>
    </row>
    <row r="11" spans="3:19" ht="13.5" thickBot="1">
      <c r="C11" s="155" t="s">
        <v>310</v>
      </c>
      <c r="D11" s="33"/>
      <c r="E11" s="34"/>
      <c r="F11" s="27"/>
      <c r="G11" s="27"/>
      <c r="H11" s="28"/>
      <c r="I11" s="28"/>
      <c r="J11" s="28"/>
      <c r="K11" s="28"/>
      <c r="L11" s="28"/>
      <c r="M11" s="28"/>
      <c r="N11" s="28"/>
      <c r="O11" s="28"/>
      <c r="P11" s="28"/>
      <c r="Q11" s="28"/>
      <c r="R11" s="29"/>
      <c r="S11" s="351"/>
    </row>
    <row r="12" spans="1:46" s="22" customFormat="1" ht="34.5" customHeight="1">
      <c r="A12" s="352"/>
      <c r="B12" s="352"/>
      <c r="C12" s="30" t="s">
        <v>311</v>
      </c>
      <c r="D12" s="41" t="s">
        <v>312</v>
      </c>
      <c r="E12" s="31" t="s">
        <v>313</v>
      </c>
      <c r="F12" s="31" t="s">
        <v>314</v>
      </c>
      <c r="G12" s="31" t="s">
        <v>315</v>
      </c>
      <c r="H12" s="31" t="s">
        <v>316</v>
      </c>
      <c r="I12" s="31" t="s">
        <v>317</v>
      </c>
      <c r="J12" s="31" t="s">
        <v>69</v>
      </c>
      <c r="K12" s="31" t="s">
        <v>318</v>
      </c>
      <c r="L12" s="31" t="s">
        <v>319</v>
      </c>
      <c r="M12" s="31" t="s">
        <v>70</v>
      </c>
      <c r="N12" s="31" t="s">
        <v>74</v>
      </c>
      <c r="O12" s="31" t="s">
        <v>320</v>
      </c>
      <c r="P12" s="32" t="s">
        <v>75</v>
      </c>
      <c r="Q12" s="32" t="s">
        <v>76</v>
      </c>
      <c r="R12" s="32" t="s">
        <v>321</v>
      </c>
      <c r="S12" s="360" t="s">
        <v>311</v>
      </c>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row>
    <row r="13" spans="3:19" ht="12.75">
      <c r="C13" s="364">
        <f>C14-1</f>
        <v>0</v>
      </c>
      <c r="D13" s="365" t="s">
        <v>71</v>
      </c>
      <c r="E13" s="366"/>
      <c r="F13" s="366"/>
      <c r="G13" s="366"/>
      <c r="H13" s="366">
        <f>-H14</f>
        <v>-117760</v>
      </c>
      <c r="I13" s="366">
        <f>fkn</f>
        <v>0</v>
      </c>
      <c r="J13" s="367"/>
      <c r="K13" s="366"/>
      <c r="L13" s="367"/>
      <c r="M13" s="367"/>
      <c r="N13" s="367"/>
      <c r="O13" s="366">
        <f>-ekn</f>
        <v>-853760</v>
      </c>
      <c r="P13" s="23">
        <f>-ekn</f>
        <v>-853760</v>
      </c>
      <c r="Q13" s="23">
        <f>-ekn</f>
        <v>-853760</v>
      </c>
      <c r="R13" s="53">
        <f>-ekn</f>
        <v>-853760</v>
      </c>
      <c r="S13" s="361">
        <f>S14-1</f>
        <v>0</v>
      </c>
    </row>
    <row r="14" spans="3:19" ht="12.75">
      <c r="C14" s="368">
        <v>1</v>
      </c>
      <c r="D14" s="365">
        <f>input!$E$28*(1+input!$J$28)*input!$J$25</f>
        <v>0.3248</v>
      </c>
      <c r="E14" s="366">
        <f>(input!$E$27*D14)/12*input!H8</f>
        <v>8871.1</v>
      </c>
      <c r="F14" s="366">
        <f>result!G38</f>
        <v>7594.407146777481</v>
      </c>
      <c r="G14" s="366">
        <f>E14-F14</f>
        <v>1276.6928532225193</v>
      </c>
      <c r="H14" s="366">
        <f>input!E44</f>
        <v>117760</v>
      </c>
      <c r="I14" s="366">
        <f>I13-J14</f>
        <v>0</v>
      </c>
      <c r="J14" s="366">
        <f>(IF(OR(input!$D$53&gt;=C14,input!$D$52&lt;C14),0,input!$J$53))/12*input!$H$8</f>
        <v>0</v>
      </c>
      <c r="K14" s="366">
        <f>(input!$D$54*(I13))/12*input!H8</f>
        <v>0</v>
      </c>
      <c r="L14" s="366">
        <f>G14-J14-K14</f>
        <v>1276.6928532225193</v>
      </c>
      <c r="M14" s="366">
        <f>result!G96</f>
        <v>0</v>
      </c>
      <c r="N14" s="366">
        <f>result!H98</f>
        <v>888.2039253503699</v>
      </c>
      <c r="O14" s="366">
        <f aca="true" t="shared" si="0" ref="O14:O38">H14+L14-M14</f>
        <v>119036.69285322251</v>
      </c>
      <c r="P14" s="23">
        <f>H14+L14-N14</f>
        <v>118148.48892787214</v>
      </c>
      <c r="Q14" s="23">
        <f>Q13+P14</f>
        <v>-735611.5110721278</v>
      </c>
      <c r="R14" s="53">
        <f>R13+O14</f>
        <v>-734723.3071467775</v>
      </c>
      <c r="S14" s="362">
        <v>1</v>
      </c>
    </row>
    <row r="15" spans="3:19" ht="12.75">
      <c r="C15" s="368">
        <f aca="true" t="shared" si="1" ref="C15:C38">C14+1</f>
        <v>2</v>
      </c>
      <c r="D15" s="365">
        <f>input!$E$28*(1+input!$J$28)^C14*input!$J$25</f>
        <v>0.3248</v>
      </c>
      <c r="E15" s="366">
        <f>input!$E$27*D15+(input!$E$27-(input!$E$27*(1+input!$J$41)^C14))*D15</f>
        <v>105920.93400000002</v>
      </c>
      <c r="F15" s="366">
        <f>result!H38</f>
        <v>53301.45163193188</v>
      </c>
      <c r="G15" s="366">
        <f aca="true" t="shared" si="2" ref="G15:G38">E15-F15</f>
        <v>52619.482368068144</v>
      </c>
      <c r="H15" s="367"/>
      <c r="I15" s="366">
        <f aca="true" t="shared" si="3" ref="I15:I38">I14-J15</f>
        <v>0</v>
      </c>
      <c r="J15" s="366">
        <f>(IF(OR(input!$D$53&gt;=C15,input!$D$52&lt;C15),0,input!$J$53))/12*input!$H$8</f>
        <v>0</v>
      </c>
      <c r="K15" s="366">
        <f>(input!$D$54*(I14))</f>
        <v>0</v>
      </c>
      <c r="L15" s="366">
        <f aca="true" t="shared" si="4" ref="L15:L38">G15-J15-K15</f>
        <v>52619.482368068144</v>
      </c>
      <c r="M15" s="366">
        <f>result!H96</f>
        <v>0</v>
      </c>
      <c r="N15" s="366">
        <f>result!H98</f>
        <v>888.2039253503699</v>
      </c>
      <c r="O15" s="366">
        <f t="shared" si="0"/>
        <v>52619.482368068144</v>
      </c>
      <c r="P15" s="23">
        <f aca="true" t="shared" si="5" ref="P15:P38">H15+L15-N15</f>
        <v>51731.278442717776</v>
      </c>
      <c r="Q15" s="23">
        <f aca="true" t="shared" si="6" ref="Q15:Q38">Q14+P15</f>
        <v>-683880.2326294101</v>
      </c>
      <c r="R15" s="53">
        <f aca="true" t="shared" si="7" ref="R15:R38">R14+O15</f>
        <v>-682103.8247787093</v>
      </c>
      <c r="S15" s="362">
        <f>S14+1</f>
        <v>2</v>
      </c>
    </row>
    <row r="16" spans="3:19" ht="12.75">
      <c r="C16" s="368">
        <f t="shared" si="1"/>
        <v>3</v>
      </c>
      <c r="D16" s="365">
        <f>input!$E$28*(1+input!$J$28)^C15*input!$J$25</f>
        <v>0.3296719999999999</v>
      </c>
      <c r="E16" s="366">
        <f>input!$E$27*D16+(input!$E$27-(input!$E$27*(1+input!$J$41)^C15))*D16</f>
        <v>106966.79677004999</v>
      </c>
      <c r="F16" s="366">
        <f>result!I38</f>
        <v>54075.682776770234</v>
      </c>
      <c r="G16" s="366">
        <f t="shared" si="2"/>
        <v>52891.11399327975</v>
      </c>
      <c r="H16" s="367"/>
      <c r="I16" s="366">
        <f t="shared" si="3"/>
        <v>0</v>
      </c>
      <c r="J16" s="366">
        <f>(IF(OR(input!$D$53&gt;=C16,input!$D$52&lt;C16),0,input!$J$53))/12*input!$H$8</f>
        <v>0</v>
      </c>
      <c r="K16" s="366">
        <f>(input!$D$54*(I15))</f>
        <v>0</v>
      </c>
      <c r="L16" s="366">
        <f t="shared" si="4"/>
        <v>52891.11399327975</v>
      </c>
      <c r="M16" s="366">
        <f>result!I96</f>
        <v>0</v>
      </c>
      <c r="N16" s="366">
        <f>result!I98</f>
        <v>956.111831653272</v>
      </c>
      <c r="O16" s="366">
        <f t="shared" si="0"/>
        <v>52891.11399327975</v>
      </c>
      <c r="P16" s="23">
        <f t="shared" si="5"/>
        <v>51935.00216162648</v>
      </c>
      <c r="Q16" s="23">
        <f t="shared" si="6"/>
        <v>-631945.2304677836</v>
      </c>
      <c r="R16" s="53">
        <f t="shared" si="7"/>
        <v>-629212.7107854296</v>
      </c>
      <c r="S16" s="362">
        <f aca="true" t="shared" si="8" ref="S16:S38">S15+1</f>
        <v>3</v>
      </c>
    </row>
    <row r="17" spans="3:19" ht="12.75">
      <c r="C17" s="368">
        <f t="shared" si="1"/>
        <v>4</v>
      </c>
      <c r="D17" s="365">
        <f>input!$E$28*(1+input!$J$28)^C16*input!$J$25</f>
        <v>0.3346170799999999</v>
      </c>
      <c r="E17" s="366">
        <f>input!$E$27*D17+(input!$E$27-(input!$E$27*(1+input!$J$41)^C16))*D17</f>
        <v>108017.44773550876</v>
      </c>
      <c r="F17" s="366">
        <f>result!J38</f>
        <v>54861.64312528767</v>
      </c>
      <c r="G17" s="366">
        <f t="shared" si="2"/>
        <v>53155.80461022109</v>
      </c>
      <c r="H17" s="367"/>
      <c r="I17" s="366">
        <f t="shared" si="3"/>
        <v>0</v>
      </c>
      <c r="J17" s="366">
        <f>(IF(OR(input!$D$53&gt;=C17,input!$D$52&lt;C17),0,input!$J$53))/12*input!$H$8</f>
        <v>0</v>
      </c>
      <c r="K17" s="366">
        <f>(input!$D$54*(I16))</f>
        <v>0</v>
      </c>
      <c r="L17" s="366">
        <f t="shared" si="4"/>
        <v>53155.80461022109</v>
      </c>
      <c r="M17" s="366">
        <f>result!J96</f>
        <v>0</v>
      </c>
      <c r="N17" s="366">
        <f>result!J98</f>
        <v>1022.2844858886056</v>
      </c>
      <c r="O17" s="366">
        <f t="shared" si="0"/>
        <v>53155.80461022109</v>
      </c>
      <c r="P17" s="23">
        <f t="shared" si="5"/>
        <v>52133.520124332485</v>
      </c>
      <c r="Q17" s="23">
        <f t="shared" si="6"/>
        <v>-579811.7103434511</v>
      </c>
      <c r="R17" s="53">
        <f t="shared" si="7"/>
        <v>-576056.9061752085</v>
      </c>
      <c r="S17" s="362">
        <f t="shared" si="8"/>
        <v>4</v>
      </c>
    </row>
    <row r="18" spans="3:19" ht="12.75">
      <c r="C18" s="368">
        <f t="shared" si="1"/>
        <v>5</v>
      </c>
      <c r="D18" s="365">
        <f>input!$E$28*(1+input!$J$28)^C17*input!$J$25</f>
        <v>0.33963633619999983</v>
      </c>
      <c r="E18" s="366">
        <f>input!$E$27*D18+(input!$E$27-(input!$E$27*(1+input!$J$41)^C17))*D18</f>
        <v>109072.7399069036</v>
      </c>
      <c r="F18" s="366">
        <f>result!K38</f>
        <v>55659.517950702015</v>
      </c>
      <c r="G18" s="366">
        <f t="shared" si="2"/>
        <v>53413.22195620159</v>
      </c>
      <c r="H18" s="367"/>
      <c r="I18" s="366">
        <f t="shared" si="3"/>
        <v>0</v>
      </c>
      <c r="J18" s="366">
        <f>(IF(OR(input!$D$53&gt;=C18,input!$D$52&lt;C18),0,input!$J$53))/12*input!$H$8</f>
        <v>0</v>
      </c>
      <c r="K18" s="366">
        <f>(input!$D$54*(I17))</f>
        <v>0</v>
      </c>
      <c r="L18" s="366">
        <f t="shared" si="4"/>
        <v>53413.22195620159</v>
      </c>
      <c r="M18" s="366">
        <f>result!K96</f>
        <v>0</v>
      </c>
      <c r="N18" s="366">
        <f>result!K98</f>
        <v>1086.6388223837312</v>
      </c>
      <c r="O18" s="366">
        <f t="shared" si="0"/>
        <v>53413.22195620159</v>
      </c>
      <c r="P18" s="23">
        <f t="shared" si="5"/>
        <v>52326.583133817854</v>
      </c>
      <c r="Q18" s="23">
        <f t="shared" si="6"/>
        <v>-527485.1272096332</v>
      </c>
      <c r="R18" s="53">
        <f t="shared" si="7"/>
        <v>-522643.6842190069</v>
      </c>
      <c r="S18" s="362">
        <f t="shared" si="8"/>
        <v>5</v>
      </c>
    </row>
    <row r="19" spans="3:19" ht="12.75">
      <c r="C19" s="368">
        <f t="shared" si="1"/>
        <v>6</v>
      </c>
      <c r="D19" s="365">
        <f>input!$E$28*(1+input!$J$28)^C18*input!$J$25</f>
        <v>0.3447308812429998</v>
      </c>
      <c r="E19" s="366">
        <f>input!$E$27*D19+(input!$E$27-(input!$E$27*(1+input!$J$41)^C18))*D19</f>
        <v>110132.51969726077</v>
      </c>
      <c r="F19" s="366">
        <f>result!L38</f>
        <v>56469.49566802654</v>
      </c>
      <c r="G19" s="366">
        <f t="shared" si="2"/>
        <v>53663.02402923423</v>
      </c>
      <c r="H19" s="367"/>
      <c r="I19" s="366">
        <f t="shared" si="3"/>
        <v>0</v>
      </c>
      <c r="J19" s="366">
        <f>(IF(OR(input!$D$53&gt;=C19,input!$D$52&lt;C19),0,input!$J$53))/12*input!$H$8</f>
        <v>0</v>
      </c>
      <c r="K19" s="366">
        <f>(input!$D$54*(I18))</f>
        <v>0</v>
      </c>
      <c r="L19" s="366">
        <f t="shared" si="4"/>
        <v>53663.02402923423</v>
      </c>
      <c r="M19" s="366">
        <f>result!L96</f>
        <v>0</v>
      </c>
      <c r="N19" s="366">
        <f>result!L98</f>
        <v>1149.0893406418909</v>
      </c>
      <c r="O19" s="366">
        <f t="shared" si="0"/>
        <v>53663.02402923423</v>
      </c>
      <c r="P19" s="23">
        <f t="shared" si="5"/>
        <v>52513.93468859234</v>
      </c>
      <c r="Q19" s="23">
        <f t="shared" si="6"/>
        <v>-474971.1925210409</v>
      </c>
      <c r="R19" s="53">
        <f t="shared" si="7"/>
        <v>-468980.66018977267</v>
      </c>
      <c r="S19" s="362">
        <f t="shared" si="8"/>
        <v>6</v>
      </c>
    </row>
    <row r="20" spans="3:19" ht="12.75">
      <c r="C20" s="368">
        <f t="shared" si="1"/>
        <v>7</v>
      </c>
      <c r="D20" s="365">
        <f>input!$E$28*(1+input!$J$28)^C19*input!$J$25</f>
        <v>0.3499018444616447</v>
      </c>
      <c r="E20" s="366">
        <f>input!$E$27*D20+(input!$E$27-(input!$E$27*(1+input!$J$41)^C19))*D20</f>
        <v>111196.62673496024</v>
      </c>
      <c r="F20" s="366">
        <f>result!M38</f>
        <v>57291.767892860415</v>
      </c>
      <c r="G20" s="366">
        <f t="shared" si="2"/>
        <v>53904.85884209983</v>
      </c>
      <c r="H20" s="367"/>
      <c r="I20" s="366">
        <f t="shared" si="3"/>
        <v>0</v>
      </c>
      <c r="J20" s="366">
        <f>(IF(OR(input!$D$53&gt;=C20,input!$D$52&lt;C20),0,input!$J$53))/12*input!$H$8</f>
        <v>0</v>
      </c>
      <c r="K20" s="366">
        <f>(input!$D$54*(I19))</f>
        <v>0</v>
      </c>
      <c r="L20" s="366">
        <f t="shared" si="4"/>
        <v>53904.85884209983</v>
      </c>
      <c r="M20" s="366">
        <f>result!M96</f>
        <v>0</v>
      </c>
      <c r="N20" s="366">
        <f>result!M98</f>
        <v>1209.5480438582908</v>
      </c>
      <c r="O20" s="366">
        <f t="shared" si="0"/>
        <v>53904.85884209983</v>
      </c>
      <c r="P20" s="23">
        <f t="shared" si="5"/>
        <v>52695.31079824154</v>
      </c>
      <c r="Q20" s="23">
        <f t="shared" si="6"/>
        <v>-422275.8817227994</v>
      </c>
      <c r="R20" s="53">
        <f t="shared" si="7"/>
        <v>-415075.8013476728</v>
      </c>
      <c r="S20" s="362">
        <f t="shared" si="8"/>
        <v>7</v>
      </c>
    </row>
    <row r="21" spans="3:19" ht="12.75">
      <c r="C21" s="368">
        <f t="shared" si="1"/>
        <v>8</v>
      </c>
      <c r="D21" s="365">
        <f>input!$E$28*(1+input!$J$28)^C20*input!$J$25</f>
        <v>0.3551503721285693</v>
      </c>
      <c r="E21" s="366">
        <f>input!$E$27*D21+(input!$E$27-(input!$E$27*(1+input!$J$41)^C20))*D21</f>
        <v>112264.89367201319</v>
      </c>
      <c r="F21" s="366">
        <f>result!N38</f>
        <v>58126.52950140469</v>
      </c>
      <c r="G21" s="366">
        <f t="shared" si="2"/>
        <v>54138.364170608496</v>
      </c>
      <c r="H21" s="367"/>
      <c r="I21" s="366">
        <f t="shared" si="3"/>
        <v>0</v>
      </c>
      <c r="J21" s="366">
        <f>(IF(OR(input!$D$53&gt;=C21,input!$D$52&lt;C21),0,input!$J$53))/12*input!$H$8</f>
        <v>0</v>
      </c>
      <c r="K21" s="366">
        <f>(input!$D$54*(I20))</f>
        <v>0</v>
      </c>
      <c r="L21" s="366">
        <f t="shared" si="4"/>
        <v>54138.364170608496</v>
      </c>
      <c r="M21" s="366">
        <f>result!N96</f>
        <v>0</v>
      </c>
      <c r="N21" s="366">
        <f>result!N98</f>
        <v>1267.924375985458</v>
      </c>
      <c r="O21" s="366">
        <f t="shared" si="0"/>
        <v>54138.364170608496</v>
      </c>
      <c r="P21" s="23">
        <f t="shared" si="5"/>
        <v>52870.43979462304</v>
      </c>
      <c r="Q21" s="23">
        <f t="shared" si="6"/>
        <v>-369405.4419281763</v>
      </c>
      <c r="R21" s="53">
        <f t="shared" si="7"/>
        <v>-360937.4371770643</v>
      </c>
      <c r="S21" s="362">
        <f t="shared" si="8"/>
        <v>8</v>
      </c>
    </row>
    <row r="22" spans="3:19" ht="12.75">
      <c r="C22" s="368">
        <f t="shared" si="1"/>
        <v>9</v>
      </c>
      <c r="D22" s="365">
        <f>input!$E$28*(1+input!$J$28)^C21*input!$J$25</f>
        <v>0.36047762771049785</v>
      </c>
      <c r="E22" s="366">
        <f>input!$E$27*D22+(input!$E$27-(input!$E$27*(1+input!$J$41)^C21))*D22</f>
        <v>113337.14598765771</v>
      </c>
      <c r="F22" s="366">
        <f>result!O38</f>
        <v>58973.97869173184</v>
      </c>
      <c r="G22" s="366">
        <f t="shared" si="2"/>
        <v>54363.16729592587</v>
      </c>
      <c r="H22" s="367"/>
      <c r="I22" s="366">
        <f t="shared" si="3"/>
        <v>0</v>
      </c>
      <c r="J22" s="366">
        <f>(IF(OR(input!$D$53&gt;=C22,input!$D$52&lt;C22),0,input!$J$53))/12*input!$H$8</f>
        <v>0</v>
      </c>
      <c r="K22" s="366">
        <f>(input!$D$54*(I21))</f>
        <v>0</v>
      </c>
      <c r="L22" s="366">
        <f t="shared" si="4"/>
        <v>54363.16729592587</v>
      </c>
      <c r="M22" s="366">
        <f>result!O96</f>
        <v>0</v>
      </c>
      <c r="N22" s="366">
        <f>result!O98</f>
        <v>1324.125157314802</v>
      </c>
      <c r="O22" s="366">
        <f t="shared" si="0"/>
        <v>54363.16729592587</v>
      </c>
      <c r="P22" s="23">
        <f t="shared" si="5"/>
        <v>53039.04213861107</v>
      </c>
      <c r="Q22" s="23">
        <f t="shared" si="6"/>
        <v>-316366.39978956524</v>
      </c>
      <c r="R22" s="53">
        <f t="shared" si="7"/>
        <v>-306574.26988113846</v>
      </c>
      <c r="S22" s="362">
        <f t="shared" si="8"/>
        <v>9</v>
      </c>
    </row>
    <row r="23" spans="3:19" ht="12.75">
      <c r="C23" s="368">
        <f t="shared" si="1"/>
        <v>10</v>
      </c>
      <c r="D23" s="365">
        <f>input!$E$28*(1+input!$J$28)^C22*input!$J$25</f>
        <v>0.36588479212615527</v>
      </c>
      <c r="E23" s="366">
        <f>input!$E$27*D23+(input!$E$27-(input!$E$27*(1+input!$J$41)^C22))*D23</f>
        <v>114413.20178716643</v>
      </c>
      <c r="F23" s="366">
        <f>result!P38</f>
        <v>59834.317046337586</v>
      </c>
      <c r="G23" s="366">
        <f t="shared" si="2"/>
        <v>54578.88474082884</v>
      </c>
      <c r="H23" s="367"/>
      <c r="I23" s="366">
        <f t="shared" si="3"/>
        <v>0</v>
      </c>
      <c r="J23" s="366">
        <f>(IF(OR(input!$D$53&gt;=C23,input!$D$52&lt;C23),0,input!$J$53))/12*input!$H$8</f>
        <v>0</v>
      </c>
      <c r="K23" s="366">
        <f>(input!$D$54*(I22))</f>
        <v>0</v>
      </c>
      <c r="L23" s="366">
        <f t="shared" si="4"/>
        <v>54578.88474082884</v>
      </c>
      <c r="M23" s="366">
        <f>result!P96</f>
        <v>0</v>
      </c>
      <c r="N23" s="366">
        <f>result!P98</f>
        <v>1378.0545185405444</v>
      </c>
      <c r="O23" s="366">
        <f t="shared" si="0"/>
        <v>54578.88474082884</v>
      </c>
      <c r="P23" s="23">
        <f t="shared" si="5"/>
        <v>53200.8302222883</v>
      </c>
      <c r="Q23" s="23">
        <f t="shared" si="6"/>
        <v>-263165.5695672769</v>
      </c>
      <c r="R23" s="53">
        <f t="shared" si="7"/>
        <v>-251995.38514030963</v>
      </c>
      <c r="S23" s="362">
        <f t="shared" si="8"/>
        <v>10</v>
      </c>
    </row>
    <row r="24" spans="3:19" ht="12.75">
      <c r="C24" s="368">
        <f t="shared" si="1"/>
        <v>11</v>
      </c>
      <c r="D24" s="369">
        <f>input!$E$28*(1+input!$J$28)^C23*input!$J$25</f>
        <v>0.37137306400804754</v>
      </c>
      <c r="E24" s="366">
        <f>input!$E$27*D24+(input!$E$27-(input!$E$27*(1+input!$J$41)^C23))*D24</f>
        <v>115492.87159575743</v>
      </c>
      <c r="F24" s="366">
        <f>result!Q38</f>
        <v>60707.74959600457</v>
      </c>
      <c r="G24" s="366">
        <f t="shared" si="2"/>
        <v>54785.12199975286</v>
      </c>
      <c r="H24" s="367"/>
      <c r="I24" s="366">
        <f t="shared" si="3"/>
        <v>0</v>
      </c>
      <c r="J24" s="366">
        <f>(IF(OR(input!$D$53&gt;=C24,input!$D$52&lt;C24),0,input!$J$53))/12*input!$H$8</f>
        <v>0</v>
      </c>
      <c r="K24" s="366">
        <f>(input!$D$54*(I23))</f>
        <v>0</v>
      </c>
      <c r="L24" s="366">
        <f t="shared" si="4"/>
        <v>54785.12199975286</v>
      </c>
      <c r="M24" s="366">
        <f>result!Q96</f>
        <v>0</v>
      </c>
      <c r="N24" s="366">
        <f>result!Q98</f>
        <v>1429.613833271549</v>
      </c>
      <c r="O24" s="366">
        <f t="shared" si="0"/>
        <v>54785.12199975286</v>
      </c>
      <c r="P24" s="23">
        <f t="shared" si="5"/>
        <v>53355.50816648131</v>
      </c>
      <c r="Q24" s="23">
        <f t="shared" si="6"/>
        <v>-209810.06140079562</v>
      </c>
      <c r="R24" s="53">
        <f t="shared" si="7"/>
        <v>-197210.26314055678</v>
      </c>
      <c r="S24" s="362">
        <f t="shared" si="8"/>
        <v>11</v>
      </c>
    </row>
    <row r="25" spans="3:19" ht="12.75">
      <c r="C25" s="368">
        <f t="shared" si="1"/>
        <v>12</v>
      </c>
      <c r="D25" s="369">
        <f>input!$E$28*(1+input!$J$28)^C24*input!$J$25</f>
        <v>0.3769436599681682</v>
      </c>
      <c r="E25" s="366">
        <f>input!$E$27*D25+(input!$E$27-(input!$E$27*(1+input!$J$41)^C24))*D25</f>
        <v>116575.95814749658</v>
      </c>
      <c r="F25" s="366">
        <f>result!R38</f>
        <v>61594.484885007536</v>
      </c>
      <c r="G25" s="366">
        <f t="shared" si="2"/>
        <v>54981.473262489046</v>
      </c>
      <c r="H25" s="367"/>
      <c r="I25" s="366">
        <f t="shared" si="3"/>
        <v>0</v>
      </c>
      <c r="J25" s="366">
        <f>(IF(OR(input!$D$53&gt;=C25,input!$D$52&lt;C25),0,input!$J$53))/12*input!$H$8</f>
        <v>0</v>
      </c>
      <c r="K25" s="366">
        <f>(input!$D$54*(I24))</f>
        <v>0</v>
      </c>
      <c r="L25" s="366">
        <f t="shared" si="4"/>
        <v>54981.473262489046</v>
      </c>
      <c r="M25" s="366">
        <f>result!R96</f>
        <v>1242.8025304830735</v>
      </c>
      <c r="N25" s="366">
        <f>result!R98</f>
        <v>1478.7016489555954</v>
      </c>
      <c r="O25" s="366">
        <f t="shared" si="0"/>
        <v>53738.67073200597</v>
      </c>
      <c r="P25" s="23">
        <f t="shared" si="5"/>
        <v>53502.77161353345</v>
      </c>
      <c r="Q25" s="23">
        <f t="shared" si="6"/>
        <v>-156307.28978726215</v>
      </c>
      <c r="R25" s="53">
        <f t="shared" si="7"/>
        <v>-143471.59240855082</v>
      </c>
      <c r="S25" s="362">
        <f t="shared" si="8"/>
        <v>12</v>
      </c>
    </row>
    <row r="26" spans="3:19" ht="12.75">
      <c r="C26" s="368">
        <f t="shared" si="1"/>
        <v>13</v>
      </c>
      <c r="D26" s="369">
        <f>input!$E$28*(1+input!$J$28)^C25*input!$J$25</f>
        <v>0.3825978148676907</v>
      </c>
      <c r="E26" s="366">
        <f>input!$E$27*D26+(input!$E$27-(input!$E$27*(1+input!$J$41)^C25))*D26</f>
        <v>117662.25616907876</v>
      </c>
      <c r="F26" s="366">
        <f>result!S38</f>
        <v>62494.735037691455</v>
      </c>
      <c r="G26" s="366">
        <f t="shared" si="2"/>
        <v>55167.5211313873</v>
      </c>
      <c r="H26" s="367"/>
      <c r="I26" s="366">
        <f t="shared" si="3"/>
        <v>0</v>
      </c>
      <c r="J26" s="366">
        <f>(IF(OR(input!$D$53&gt;=C26,input!$D$52&lt;C26),0,input!$J$53))/12*input!$H$8</f>
        <v>0</v>
      </c>
      <c r="K26" s="366">
        <f>(input!$D$54*(I25))</f>
        <v>0</v>
      </c>
      <c r="L26" s="366">
        <f t="shared" si="4"/>
        <v>55167.5211313873</v>
      </c>
      <c r="M26" s="366">
        <f>result!S96</f>
        <v>1525.213616180159</v>
      </c>
      <c r="N26" s="366">
        <f>result!S98</f>
        <v>1525.213616180159</v>
      </c>
      <c r="O26" s="366">
        <f t="shared" si="0"/>
        <v>53642.30751520714</v>
      </c>
      <c r="P26" s="23">
        <f t="shared" si="5"/>
        <v>53642.30751520714</v>
      </c>
      <c r="Q26" s="23">
        <f t="shared" si="6"/>
        <v>-102664.98227205501</v>
      </c>
      <c r="R26" s="53">
        <f t="shared" si="7"/>
        <v>-89829.28489334368</v>
      </c>
      <c r="S26" s="362">
        <f t="shared" si="8"/>
        <v>13</v>
      </c>
    </row>
    <row r="27" spans="3:19" ht="12.75">
      <c r="C27" s="368">
        <f t="shared" si="1"/>
        <v>14</v>
      </c>
      <c r="D27" s="369">
        <f>input!$E$28*(1+input!$J$28)^C26*input!$J$25</f>
        <v>0.388336782090706</v>
      </c>
      <c r="E27" s="366">
        <f>input!$E$27*D27+(input!$E$27-(input!$E$27*(1+input!$J$41)^C26))*D27</f>
        <v>118751.5521583707</v>
      </c>
      <c r="F27" s="366">
        <f>result!T38</f>
        <v>63408.71582645377</v>
      </c>
      <c r="G27" s="366">
        <f t="shared" si="2"/>
        <v>55342.83633191693</v>
      </c>
      <c r="H27" s="367"/>
      <c r="I27" s="366">
        <f t="shared" si="3"/>
        <v>0</v>
      </c>
      <c r="J27" s="366">
        <f>(IF(OR(input!$D$53&gt;=C27,input!$D$52&lt;C27),0,input!$J$53))/12*input!$H$8</f>
        <v>0</v>
      </c>
      <c r="K27" s="366">
        <f>(input!$D$54*(I26))</f>
        <v>0</v>
      </c>
      <c r="L27" s="366">
        <f t="shared" si="4"/>
        <v>55342.83633191693</v>
      </c>
      <c r="M27" s="366">
        <f>result!T96</f>
        <v>1569.0424163125663</v>
      </c>
      <c r="N27" s="366">
        <f>result!T98</f>
        <v>1569.0424163125663</v>
      </c>
      <c r="O27" s="366">
        <f t="shared" si="0"/>
        <v>53773.793915604365</v>
      </c>
      <c r="P27" s="23">
        <f t="shared" si="5"/>
        <v>53773.793915604365</v>
      </c>
      <c r="Q27" s="23">
        <f t="shared" si="6"/>
        <v>-48891.18835645065</v>
      </c>
      <c r="R27" s="53">
        <f t="shared" si="7"/>
        <v>-36055.49097773931</v>
      </c>
      <c r="S27" s="362">
        <f t="shared" si="8"/>
        <v>14</v>
      </c>
    </row>
    <row r="28" spans="3:19" ht="12.75">
      <c r="C28" s="368">
        <f t="shared" si="1"/>
        <v>15</v>
      </c>
      <c r="D28" s="369">
        <f>input!$E$28*(1+input!$J$28)^C27*input!$J$25</f>
        <v>0.3941618338220665</v>
      </c>
      <c r="E28" s="366">
        <f>input!$E$27*D28+(input!$E$27-(input!$E$27*(1+input!$J$41)^C27))*D28</f>
        <v>119843.6241575982</v>
      </c>
      <c r="F28" s="366">
        <f>result!U38</f>
        <v>64336.64674116344</v>
      </c>
      <c r="G28" s="366">
        <f t="shared" si="2"/>
        <v>55506.97741643476</v>
      </c>
      <c r="H28" s="367"/>
      <c r="I28" s="366">
        <f t="shared" si="3"/>
        <v>0</v>
      </c>
      <c r="J28" s="366">
        <f>(IF(OR(input!$D$53&gt;=C28,input!$D$52&lt;C28),0,input!$J$53))/12*input!$H$8</f>
        <v>0</v>
      </c>
      <c r="K28" s="366">
        <f>(input!$D$54*(I27))</f>
        <v>0</v>
      </c>
      <c r="L28" s="366">
        <f t="shared" si="4"/>
        <v>55506.97741643476</v>
      </c>
      <c r="M28" s="366">
        <f>result!U96</f>
        <v>1610.0776874420244</v>
      </c>
      <c r="N28" s="366">
        <f>result!U98</f>
        <v>1610.0776874420244</v>
      </c>
      <c r="O28" s="366">
        <f t="shared" si="0"/>
        <v>53896.899728992736</v>
      </c>
      <c r="P28" s="23">
        <f t="shared" si="5"/>
        <v>53896.899728992736</v>
      </c>
      <c r="Q28" s="23">
        <f t="shared" si="6"/>
        <v>5005.711372542086</v>
      </c>
      <c r="R28" s="53">
        <f t="shared" si="7"/>
        <v>17841.408751253424</v>
      </c>
      <c r="S28" s="362">
        <f t="shared" si="8"/>
        <v>15</v>
      </c>
    </row>
    <row r="29" spans="3:19" ht="12.75">
      <c r="C29" s="368">
        <f t="shared" si="1"/>
        <v>16</v>
      </c>
      <c r="D29" s="369">
        <f>input!$E$28*(1+input!$J$28)^C28*input!$J$25</f>
        <v>0.40007426132939744</v>
      </c>
      <c r="E29" s="366">
        <f>input!$E$27*D29+(input!$E$27-(input!$E$27*(1+input!$J$41)^C28))*D29</f>
        <v>120938.24152105486</v>
      </c>
      <c r="F29" s="366">
        <f>result!V38</f>
        <v>65278.751060049624</v>
      </c>
      <c r="G29" s="366">
        <f t="shared" si="2"/>
        <v>55659.49046100524</v>
      </c>
      <c r="H29" s="367"/>
      <c r="I29" s="366">
        <f t="shared" si="3"/>
        <v>0</v>
      </c>
      <c r="J29" s="366">
        <f>(IF(OR(input!$D$53&gt;=C29,input!$D$52&lt;C29),0,input!$J$53))/12*input!$H$8</f>
        <v>0</v>
      </c>
      <c r="K29" s="366">
        <f>(input!$D$54*(I28))</f>
        <v>0</v>
      </c>
      <c r="L29" s="366">
        <f t="shared" si="4"/>
        <v>55659.49046100524</v>
      </c>
      <c r="M29" s="366">
        <f>result!V96</f>
        <v>13914.87261525131</v>
      </c>
      <c r="N29" s="366">
        <f>result!V98</f>
        <v>13914.87261525131</v>
      </c>
      <c r="O29" s="366">
        <f t="shared" si="0"/>
        <v>41744.61784575393</v>
      </c>
      <c r="P29" s="23">
        <f t="shared" si="5"/>
        <v>41744.61784575393</v>
      </c>
      <c r="Q29" s="23">
        <f t="shared" si="6"/>
        <v>46750.329218296014</v>
      </c>
      <c r="R29" s="53">
        <f t="shared" si="7"/>
        <v>59586.02659700735</v>
      </c>
      <c r="S29" s="362">
        <f t="shared" si="8"/>
        <v>16</v>
      </c>
    </row>
    <row r="30" spans="3:19" ht="12.75">
      <c r="C30" s="368">
        <f t="shared" si="1"/>
        <v>17</v>
      </c>
      <c r="D30" s="369">
        <f>input!$E$28*(1+input!$J$28)^C29*input!$J$25</f>
        <v>0.40607537524933834</v>
      </c>
      <c r="E30" s="366">
        <f>input!$E$27*D30+(input!$E$27-(input!$E$27*(1+input!$J$41)^C29))*D30</f>
        <v>122035.16467721034</v>
      </c>
      <c r="F30" s="366">
        <f>result!W38</f>
        <v>66235.2559220944</v>
      </c>
      <c r="G30" s="366">
        <f t="shared" si="2"/>
        <v>55799.90875511595</v>
      </c>
      <c r="H30" s="367"/>
      <c r="I30" s="366">
        <f t="shared" si="3"/>
        <v>0</v>
      </c>
      <c r="J30" s="366">
        <f>(IF(OR(input!$D$53&gt;=C30,input!$D$52&lt;C30),0,input!$J$53))/12*input!$H$8</f>
        <v>0</v>
      </c>
      <c r="K30" s="366">
        <f>(input!$D$54*(I29))</f>
        <v>0</v>
      </c>
      <c r="L30" s="366">
        <f t="shared" si="4"/>
        <v>55799.90875511595</v>
      </c>
      <c r="M30" s="366">
        <f>result!W96</f>
        <v>13949.977188778987</v>
      </c>
      <c r="N30" s="366">
        <f>result!W98</f>
        <v>13949.977188778987</v>
      </c>
      <c r="O30" s="366">
        <f t="shared" si="0"/>
        <v>41849.93156633696</v>
      </c>
      <c r="P30" s="23">
        <f t="shared" si="5"/>
        <v>41849.93156633696</v>
      </c>
      <c r="Q30" s="23">
        <f t="shared" si="6"/>
        <v>88600.26078463298</v>
      </c>
      <c r="R30" s="53">
        <f t="shared" si="7"/>
        <v>101435.95816334432</v>
      </c>
      <c r="S30" s="362">
        <f t="shared" si="8"/>
        <v>17</v>
      </c>
    </row>
    <row r="31" spans="3:19" ht="12.75">
      <c r="C31" s="368">
        <f t="shared" si="1"/>
        <v>18</v>
      </c>
      <c r="D31" s="369">
        <f>input!$E$28*(1+input!$J$28)^C30*input!$J$25</f>
        <v>0.41216650587807835</v>
      </c>
      <c r="E31" s="366">
        <f>input!$E$27*D31+(input!$E$27-(input!$E$27*(1+input!$J$41)^C30))*D31</f>
        <v>123134.14488508993</v>
      </c>
      <c r="F31" s="366">
        <f>result!X38</f>
        <v>67206.39240096392</v>
      </c>
      <c r="G31" s="366">
        <f t="shared" si="2"/>
        <v>55927.75248412602</v>
      </c>
      <c r="H31" s="367"/>
      <c r="I31" s="366">
        <f t="shared" si="3"/>
        <v>0</v>
      </c>
      <c r="J31" s="366">
        <f>(IF(OR(input!$D$53&gt;=C31,input!$D$52&lt;C31),0,input!$J$53))/12*input!$H$8</f>
        <v>0</v>
      </c>
      <c r="K31" s="366">
        <f>(input!$D$54*(I30))</f>
        <v>0</v>
      </c>
      <c r="L31" s="366">
        <f t="shared" si="4"/>
        <v>55927.75248412602</v>
      </c>
      <c r="M31" s="366">
        <f>result!X96</f>
        <v>13981.938121031504</v>
      </c>
      <c r="N31" s="366">
        <f>result!X98</f>
        <v>13981.938121031504</v>
      </c>
      <c r="O31" s="366">
        <f t="shared" si="0"/>
        <v>41945.81436309451</v>
      </c>
      <c r="P31" s="23">
        <f t="shared" si="5"/>
        <v>41945.81436309451</v>
      </c>
      <c r="Q31" s="23">
        <f t="shared" si="6"/>
        <v>130546.07514772749</v>
      </c>
      <c r="R31" s="53">
        <f t="shared" si="7"/>
        <v>143381.7725264388</v>
      </c>
      <c r="S31" s="362">
        <f t="shared" si="8"/>
        <v>18</v>
      </c>
    </row>
    <row r="32" spans="3:19" ht="12.75">
      <c r="C32" s="368">
        <f t="shared" si="1"/>
        <v>19</v>
      </c>
      <c r="D32" s="369">
        <f>input!$E$28*(1+input!$J$28)^C31*input!$J$25</f>
        <v>0.4183490034662495</v>
      </c>
      <c r="E32" s="366">
        <f>input!$E$27*D32+(input!$E$27-(input!$E$27*(1+input!$J$41)^C31))*D32</f>
        <v>124234.92398479753</v>
      </c>
      <c r="F32" s="366">
        <f>result!Y38</f>
        <v>68192.39558051417</v>
      </c>
      <c r="G32" s="366">
        <f t="shared" si="2"/>
        <v>56042.52840428335</v>
      </c>
      <c r="H32" s="367"/>
      <c r="I32" s="366">
        <f t="shared" si="3"/>
        <v>0</v>
      </c>
      <c r="J32" s="366">
        <f>(IF(OR(input!$D$53&gt;=C32,input!$D$52&lt;C32),0,input!$J$53))/12*input!$H$8</f>
        <v>0</v>
      </c>
      <c r="K32" s="366">
        <f>(input!$D$54*(I31))</f>
        <v>0</v>
      </c>
      <c r="L32" s="366">
        <f t="shared" si="4"/>
        <v>56042.52840428335</v>
      </c>
      <c r="M32" s="366">
        <f>result!Y96</f>
        <v>14010.632101070838</v>
      </c>
      <c r="N32" s="366">
        <f>result!Y98</f>
        <v>14010.632101070838</v>
      </c>
      <c r="O32" s="366">
        <f t="shared" si="0"/>
        <v>42031.89630321252</v>
      </c>
      <c r="P32" s="23">
        <f t="shared" si="5"/>
        <v>42031.89630321252</v>
      </c>
      <c r="Q32" s="23">
        <f t="shared" si="6"/>
        <v>172577.97145094</v>
      </c>
      <c r="R32" s="53">
        <f t="shared" si="7"/>
        <v>185413.66882965132</v>
      </c>
      <c r="S32" s="362">
        <f t="shared" si="8"/>
        <v>19</v>
      </c>
    </row>
    <row r="33" spans="3:19" ht="12.75">
      <c r="C33" s="368">
        <f t="shared" si="1"/>
        <v>20</v>
      </c>
      <c r="D33" s="369">
        <f>input!$E$28*(1+input!$J$28)^C32*input!$J$25</f>
        <v>0.4246242385182432</v>
      </c>
      <c r="E33" s="366">
        <f>input!$E$27*D33+(input!$E$27-(input!$E$27*(1+input!$J$41)^C32))*D33</f>
        <v>125337.23414204881</v>
      </c>
      <c r="F33" s="366">
        <f>result!Z38</f>
        <v>69193.50463190727</v>
      </c>
      <c r="G33" s="366">
        <f t="shared" si="2"/>
        <v>56143.72951014154</v>
      </c>
      <c r="H33" s="367"/>
      <c r="I33" s="366">
        <f t="shared" si="3"/>
        <v>0</v>
      </c>
      <c r="J33" s="366">
        <f>(IF(OR(input!$D$53&gt;=C33,input!$D$52&lt;C33),0,input!$J$53))/12*input!$H$8</f>
        <v>0</v>
      </c>
      <c r="K33" s="366">
        <f>(input!$D$54*(I32))</f>
        <v>0</v>
      </c>
      <c r="L33" s="366">
        <f t="shared" si="4"/>
        <v>56143.72951014154</v>
      </c>
      <c r="M33" s="366">
        <f>result!Z96</f>
        <v>14035.932377535384</v>
      </c>
      <c r="N33" s="366">
        <f>result!Z98</f>
        <v>14035.932377535384</v>
      </c>
      <c r="O33" s="366">
        <f t="shared" si="0"/>
        <v>42107.79713260615</v>
      </c>
      <c r="P33" s="23">
        <f t="shared" si="5"/>
        <v>42107.79713260615</v>
      </c>
      <c r="Q33" s="23">
        <f t="shared" si="6"/>
        <v>214685.76858354616</v>
      </c>
      <c r="R33" s="53">
        <f t="shared" si="7"/>
        <v>227521.46596225747</v>
      </c>
      <c r="S33" s="362">
        <f t="shared" si="8"/>
        <v>20</v>
      </c>
    </row>
    <row r="34" spans="3:19" ht="12.75">
      <c r="C34" s="368">
        <f t="shared" si="1"/>
        <v>21</v>
      </c>
      <c r="D34" s="369">
        <f>input!$E$28*(1+input!$J$28)^C33*input!$J$25</f>
        <v>0.4309936020960167</v>
      </c>
      <c r="E34" s="366">
        <f>input!$E$27*D34+(input!$E$27-(input!$E$27*(1+input!$J$41)^C33))*D34</f>
        <v>126440.79758658071</v>
      </c>
      <c r="F34" s="366">
        <f>result!AA38</f>
        <v>70209.96289237628</v>
      </c>
      <c r="G34" s="366">
        <f t="shared" si="2"/>
        <v>56230.83469420443</v>
      </c>
      <c r="H34" s="367"/>
      <c r="I34" s="366">
        <f t="shared" si="3"/>
        <v>0</v>
      </c>
      <c r="J34" s="366">
        <f>(IF(OR(input!$D$53&gt;=C34,input!$D$52&lt;C34),0,input!$J$53))/12*input!$H$8</f>
        <v>0</v>
      </c>
      <c r="K34" s="366">
        <f>(input!$D$54*(I33))</f>
        <v>0</v>
      </c>
      <c r="L34" s="366">
        <f t="shared" si="4"/>
        <v>56230.83469420443</v>
      </c>
      <c r="M34" s="366">
        <f>result!AA96</f>
        <v>14057.708673551107</v>
      </c>
      <c r="N34" s="366">
        <f>result!AA98</f>
        <v>14057.708673551107</v>
      </c>
      <c r="O34" s="366">
        <f t="shared" si="0"/>
        <v>42173.12602065332</v>
      </c>
      <c r="P34" s="23">
        <f t="shared" si="5"/>
        <v>42173.12602065332</v>
      </c>
      <c r="Q34" s="23">
        <f t="shared" si="6"/>
        <v>256858.89460419948</v>
      </c>
      <c r="R34" s="53">
        <f t="shared" si="7"/>
        <v>269694.59198291076</v>
      </c>
      <c r="S34" s="362">
        <f t="shared" si="8"/>
        <v>21</v>
      </c>
    </row>
    <row r="35" spans="3:19" ht="12.75">
      <c r="C35" s="368">
        <f t="shared" si="1"/>
        <v>22</v>
      </c>
      <c r="D35" s="369">
        <f>input!$E$28*(1+input!$J$28)^C34*input!$J$25</f>
        <v>0.4374585061274569</v>
      </c>
      <c r="E35" s="366">
        <f>input!$E$27*D35+(input!$E$27-(input!$E$27*(1+input!$J$41)^C34))*D35</f>
        <v>127545.3263442986</v>
      </c>
      <c r="F35" s="366">
        <f>result!AB40</f>
        <v>71242.01794567678</v>
      </c>
      <c r="G35" s="366">
        <f t="shared" si="2"/>
        <v>56303.308398621826</v>
      </c>
      <c r="H35" s="367"/>
      <c r="I35" s="366">
        <f t="shared" si="3"/>
        <v>0</v>
      </c>
      <c r="J35" s="366">
        <f>(IF(OR(input!$D$53&gt;=C35,input!$D$52&lt;C35),0,input!$J$53))/12*input!$H$8</f>
        <v>0</v>
      </c>
      <c r="K35" s="366">
        <f>(input!$D$54*(I34))</f>
        <v>0</v>
      </c>
      <c r="L35" s="366">
        <f t="shared" si="4"/>
        <v>56303.308398621826</v>
      </c>
      <c r="M35" s="366">
        <f>result!AB96</f>
        <v>14075.827099655457</v>
      </c>
      <c r="N35" s="366">
        <f>result!AB98</f>
        <v>14075.827099655457</v>
      </c>
      <c r="O35" s="366">
        <f t="shared" si="0"/>
        <v>42227.48129896637</v>
      </c>
      <c r="P35" s="23">
        <f t="shared" si="5"/>
        <v>42227.48129896637</v>
      </c>
      <c r="Q35" s="23">
        <f t="shared" si="6"/>
        <v>299086.37590316584</v>
      </c>
      <c r="R35" s="53">
        <f t="shared" si="7"/>
        <v>311922.07328187715</v>
      </c>
      <c r="S35" s="362">
        <f t="shared" si="8"/>
        <v>22</v>
      </c>
    </row>
    <row r="36" spans="3:19" ht="12.75">
      <c r="C36" s="368">
        <f t="shared" si="1"/>
        <v>23</v>
      </c>
      <c r="D36" s="369">
        <f>input!$E$28*(1+input!$J$28)^C35*input!$J$25</f>
        <v>0.4440203837193687</v>
      </c>
      <c r="E36" s="366">
        <f>input!$E$27*D36+(input!$E$27-(input!$E$27*(1+input!$J$41)^C35))*D36</f>
        <v>128650.52196302018</v>
      </c>
      <c r="F36" s="366">
        <f>result!AC38</f>
        <v>72289.92170426415</v>
      </c>
      <c r="G36" s="366">
        <f t="shared" si="2"/>
        <v>56360.60025875602</v>
      </c>
      <c r="H36" s="367"/>
      <c r="I36" s="366">
        <f t="shared" si="3"/>
        <v>0</v>
      </c>
      <c r="J36" s="366">
        <f>(IF(OR(input!$D$53&gt;=C36,input!$D$52&lt;C36),0,input!$J$53))/12*input!$H$8</f>
        <v>0</v>
      </c>
      <c r="K36" s="366">
        <f>(input!$D$54*(I35))</f>
        <v>0</v>
      </c>
      <c r="L36" s="366">
        <f t="shared" si="4"/>
        <v>56360.60025875602</v>
      </c>
      <c r="M36" s="366">
        <f>result!AC96</f>
        <v>14090.150064689005</v>
      </c>
      <c r="N36" s="366">
        <f>result!AC98</f>
        <v>14090.150064689005</v>
      </c>
      <c r="O36" s="366">
        <f t="shared" si="0"/>
        <v>42270.450194067016</v>
      </c>
      <c r="P36" s="23">
        <f t="shared" si="5"/>
        <v>42270.450194067016</v>
      </c>
      <c r="Q36" s="23">
        <f t="shared" si="6"/>
        <v>341356.8260972329</v>
      </c>
      <c r="R36" s="53">
        <f t="shared" si="7"/>
        <v>354192.5234759442</v>
      </c>
      <c r="S36" s="362">
        <f t="shared" si="8"/>
        <v>23</v>
      </c>
    </row>
    <row r="37" spans="3:19" ht="12.75">
      <c r="C37" s="368">
        <f t="shared" si="1"/>
        <v>24</v>
      </c>
      <c r="D37" s="369">
        <f>input!$E$28*(1+input!$J$28)^C36*input!$J$25</f>
        <v>0.4506806894751592</v>
      </c>
      <c r="E37" s="366">
        <f>input!$E$27*D37+(input!$E$27-(input!$E$27*(1+input!$J$41)^C36))*D37</f>
        <v>129756.07523167298</v>
      </c>
      <c r="F37" s="366">
        <f>result!AD38</f>
        <v>73353.93049323748</v>
      </c>
      <c r="G37" s="366">
        <f t="shared" si="2"/>
        <v>56402.1447384355</v>
      </c>
      <c r="H37" s="367"/>
      <c r="I37" s="366">
        <f t="shared" si="3"/>
        <v>0</v>
      </c>
      <c r="J37" s="366">
        <f>(IF(OR(input!$D$53&gt;=C37,input!$D$52&lt;C37),0,input!$J$53))/12*input!$H$8</f>
        <v>0</v>
      </c>
      <c r="K37" s="366">
        <f>(input!$D$54*(I36))</f>
        <v>0</v>
      </c>
      <c r="L37" s="366">
        <f t="shared" si="4"/>
        <v>56402.1447384355</v>
      </c>
      <c r="M37" s="366">
        <f>result!AD96</f>
        <v>14100.536184608874</v>
      </c>
      <c r="N37" s="366">
        <f>result!AD98</f>
        <v>14100.536184608874</v>
      </c>
      <c r="O37" s="366">
        <f t="shared" si="0"/>
        <v>42301.60855382662</v>
      </c>
      <c r="P37" s="23">
        <f t="shared" si="5"/>
        <v>42301.60855382662</v>
      </c>
      <c r="Q37" s="23">
        <f t="shared" si="6"/>
        <v>383658.4346510595</v>
      </c>
      <c r="R37" s="53">
        <f t="shared" si="7"/>
        <v>396494.1320297708</v>
      </c>
      <c r="S37" s="362">
        <f t="shared" si="8"/>
        <v>24</v>
      </c>
    </row>
    <row r="38" spans="3:19" ht="12.75">
      <c r="C38" s="368">
        <f t="shared" si="1"/>
        <v>25</v>
      </c>
      <c r="D38" s="369">
        <f>input!$E$28*(1+input!$J$28)^C37*input!$J$25</f>
        <v>0.45744089981728653</v>
      </c>
      <c r="E38" s="366">
        <f>input!$E$27*D38+(input!$E$27-(input!$E$27*(1+input!$J$41)^C37))*D38</f>
        <v>130861.66589279764</v>
      </c>
      <c r="F38" s="366">
        <f>result!AE38</f>
        <v>74434.30513609077</v>
      </c>
      <c r="G38" s="366">
        <f t="shared" si="2"/>
        <v>56427.36075670687</v>
      </c>
      <c r="H38" s="367"/>
      <c r="I38" s="366">
        <f t="shared" si="3"/>
        <v>0</v>
      </c>
      <c r="J38" s="366">
        <f>(IF(OR(input!$D$53&gt;=C38,input!$D$52&lt;C38),0,input!$J$53))/12*input!$H$8</f>
        <v>0</v>
      </c>
      <c r="K38" s="366">
        <f>(input!$D$54*(I37))</f>
        <v>0</v>
      </c>
      <c r="L38" s="366">
        <f t="shared" si="4"/>
        <v>56427.36075670687</v>
      </c>
      <c r="M38" s="366">
        <f>result!AE96</f>
        <v>14106.840189176717</v>
      </c>
      <c r="N38" s="366">
        <f>result!AE98</f>
        <v>14106.840189176717</v>
      </c>
      <c r="O38" s="366">
        <f t="shared" si="0"/>
        <v>42320.520567530155</v>
      </c>
      <c r="P38" s="23">
        <f t="shared" si="5"/>
        <v>42320.520567530155</v>
      </c>
      <c r="Q38" s="23">
        <f t="shared" si="6"/>
        <v>425978.95521858963</v>
      </c>
      <c r="R38" s="53">
        <f t="shared" si="7"/>
        <v>438814.65259730094</v>
      </c>
      <c r="S38" s="362">
        <f t="shared" si="8"/>
        <v>25</v>
      </c>
    </row>
    <row r="39" spans="3:19" ht="13.5" thickBot="1">
      <c r="C39" s="370"/>
      <c r="D39" s="371"/>
      <c r="E39" s="372">
        <f>SUM(E14:E38)</f>
        <v>2847453.7647483945</v>
      </c>
      <c r="F39" s="372">
        <f>SUM(F14:F38)</f>
        <v>1526367.5612853258</v>
      </c>
      <c r="G39" s="372">
        <f>SUM(G14:G38)</f>
        <v>1321086.2034630682</v>
      </c>
      <c r="H39" s="371"/>
      <c r="I39" s="371"/>
      <c r="J39" s="372">
        <f>SUM(J14:J38)</f>
        <v>0</v>
      </c>
      <c r="K39" s="372"/>
      <c r="L39" s="371"/>
      <c r="M39" s="371"/>
      <c r="N39" s="366">
        <f>result!AF98</f>
        <v>0</v>
      </c>
      <c r="O39" s="371"/>
      <c r="P39" s="24"/>
      <c r="Q39" s="24"/>
      <c r="R39" s="24"/>
      <c r="S39" s="363"/>
    </row>
    <row r="40" spans="6:11" s="351" customFormat="1" ht="12.75">
      <c r="F40" s="359"/>
      <c r="G40" s="359"/>
      <c r="J40" s="359"/>
      <c r="K40" s="359"/>
    </row>
    <row r="41" s="351" customFormat="1" ht="12.75"/>
    <row r="42" s="351" customFormat="1" ht="12.75"/>
    <row r="43" s="351" customFormat="1" ht="12.75"/>
    <row r="44" s="351" customFormat="1" ht="12.75"/>
    <row r="45" s="351" customFormat="1" ht="12.75"/>
    <row r="46" s="351" customFormat="1" ht="12.75"/>
    <row r="47" s="351" customFormat="1" ht="12.75"/>
    <row r="48" s="351" customFormat="1" ht="12.75"/>
    <row r="49" s="351" customFormat="1" ht="12.75"/>
    <row r="50" s="351" customFormat="1" ht="12.75"/>
    <row r="51" s="351" customFormat="1" ht="12.75"/>
    <row r="52" s="351" customFormat="1" ht="12.75"/>
    <row r="53" s="351" customFormat="1" ht="12.75"/>
    <row r="54" s="351" customFormat="1" ht="12.75"/>
    <row r="55" s="351" customFormat="1" ht="12.75"/>
    <row r="56" s="351" customFormat="1" ht="12.75"/>
    <row r="57" s="351" customFormat="1" ht="12.75"/>
    <row r="58" s="351" customFormat="1" ht="12.75"/>
    <row r="59" s="351" customFormat="1" ht="12.75"/>
    <row r="60" s="351" customFormat="1" ht="12.75"/>
    <row r="61" s="351" customFormat="1" ht="12.75"/>
    <row r="62" s="351" customFormat="1" ht="12.75"/>
    <row r="63" s="351" customFormat="1" ht="12.75"/>
    <row r="64" s="351" customFormat="1" ht="12.75"/>
    <row r="65" s="351" customFormat="1" ht="12.75"/>
    <row r="66" s="351" customFormat="1" ht="12.75"/>
    <row r="67" s="351" customFormat="1" ht="12.75"/>
    <row r="68" s="351" customFormat="1" ht="12.75"/>
    <row r="69" s="351" customFormat="1" ht="12.75"/>
    <row r="70" s="351" customFormat="1" ht="12.75"/>
    <row r="71" s="351" customFormat="1" ht="12.75"/>
    <row r="72" s="351" customFormat="1" ht="12.75"/>
    <row r="73" s="351" customFormat="1" ht="12.75"/>
    <row r="74" s="351" customFormat="1" ht="12.75"/>
    <row r="75" s="351" customFormat="1" ht="12.75"/>
    <row r="76" s="351" customFormat="1" ht="12.75"/>
    <row r="77" s="351" customFormat="1" ht="12.75"/>
    <row r="78" s="351" customFormat="1" ht="12.75"/>
  </sheetData>
  <sheetProtection selectLockedCells="1" selectUnlockedCells="1"/>
  <printOptions/>
  <pageMargins left="0.7874015748031497" right="0.7874015748031497" top="0.984251968503937" bottom="0.7874015748031497" header="0" footer="0"/>
  <pageSetup horizontalDpi="360" verticalDpi="360" orientation="landscape" paperSize="9" scale="80" r:id="rId1"/>
  <headerFooter alignWithMargins="0">
    <oddFooter>&amp;CAnexo 1 página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Bullejos</dc:creator>
  <cp:keywords/>
  <dc:description/>
  <cp:lastModifiedBy>User</cp:lastModifiedBy>
  <cp:lastPrinted>2007-08-06T18:28:45Z</cp:lastPrinted>
  <dcterms:created xsi:type="dcterms:W3CDTF">2002-06-10T13:32:09Z</dcterms:created>
  <dcterms:modified xsi:type="dcterms:W3CDTF">2019-06-27T17:36:05Z</dcterms:modified>
  <cp:category/>
  <cp:version/>
  <cp:contentType/>
  <cp:contentStatus/>
</cp:coreProperties>
</file>